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47CF66FA-E656-1D48-94E1-5764410E9796}" xr6:coauthVersionLast="47" xr6:coauthVersionMax="47" xr10:uidLastSave="{00000000-0000-0000-0000-000000000000}"/>
  <bookViews>
    <workbookView xWindow="1520" yWindow="2000" windowWidth="23740" windowHeight="13380" xr2:uid="{BB449E7A-9FDD-BA4D-B3B8-210A1D87085C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7" i="1" l="1"/>
  <c r="F166" i="1"/>
  <c r="F165" i="1"/>
  <c r="G165" i="1" s="1"/>
  <c r="F164" i="1"/>
  <c r="F163" i="1"/>
  <c r="F162" i="1"/>
  <c r="F161" i="1"/>
  <c r="F160" i="1"/>
  <c r="G160" i="1" s="1"/>
  <c r="E160" i="1"/>
  <c r="F159" i="1"/>
  <c r="F158" i="1"/>
  <c r="K154" i="1"/>
  <c r="E154" i="1"/>
  <c r="C149" i="1"/>
  <c r="E166" i="1" s="1"/>
  <c r="G166" i="1" s="1"/>
  <c r="C148" i="1"/>
  <c r="E161" i="1" s="1"/>
  <c r="C147" i="1"/>
  <c r="C146" i="1"/>
  <c r="E165" i="1" s="1"/>
  <c r="N144" i="1"/>
  <c r="H135" i="1"/>
  <c r="G135" i="1"/>
  <c r="I134" i="1"/>
  <c r="H134" i="1"/>
  <c r="G134" i="1"/>
  <c r="J133" i="1"/>
  <c r="H133" i="1"/>
  <c r="G133" i="1"/>
  <c r="H132" i="1"/>
  <c r="G132" i="1"/>
  <c r="K131" i="1"/>
  <c r="J131" i="1"/>
  <c r="H131" i="1"/>
  <c r="G131" i="1"/>
  <c r="L131" i="1" s="1"/>
  <c r="J130" i="1"/>
  <c r="H130" i="1"/>
  <c r="K130" i="1" s="1"/>
  <c r="L130" i="1" s="1"/>
  <c r="G130" i="1"/>
  <c r="J129" i="1"/>
  <c r="H129" i="1"/>
  <c r="G129" i="1"/>
  <c r="K128" i="1"/>
  <c r="L128" i="1" s="1"/>
  <c r="J128" i="1"/>
  <c r="H128" i="1"/>
  <c r="G128" i="1"/>
  <c r="K127" i="1"/>
  <c r="J127" i="1"/>
  <c r="H127" i="1"/>
  <c r="G127" i="1"/>
  <c r="L127" i="1" s="1"/>
  <c r="J126" i="1"/>
  <c r="H126" i="1"/>
  <c r="K126" i="1" s="1"/>
  <c r="L126" i="1" s="1"/>
  <c r="G126" i="1"/>
  <c r="J125" i="1"/>
  <c r="H125" i="1"/>
  <c r="G125" i="1"/>
  <c r="H124" i="1"/>
  <c r="G124" i="1"/>
  <c r="H123" i="1"/>
  <c r="G123" i="1"/>
  <c r="H122" i="1"/>
  <c r="G122" i="1"/>
  <c r="J121" i="1"/>
  <c r="H121" i="1"/>
  <c r="G121" i="1"/>
  <c r="K120" i="1"/>
  <c r="L120" i="1" s="1"/>
  <c r="J120" i="1"/>
  <c r="H120" i="1"/>
  <c r="G120" i="1"/>
  <c r="H119" i="1"/>
  <c r="G119" i="1"/>
  <c r="J118" i="1"/>
  <c r="H118" i="1"/>
  <c r="K118" i="1" s="1"/>
  <c r="L118" i="1" s="1"/>
  <c r="G118" i="1"/>
  <c r="J117" i="1"/>
  <c r="H117" i="1"/>
  <c r="G117" i="1"/>
  <c r="K116" i="1"/>
  <c r="L116" i="1" s="1"/>
  <c r="J116" i="1"/>
  <c r="H116" i="1"/>
  <c r="G116" i="1"/>
  <c r="K115" i="1"/>
  <c r="J115" i="1"/>
  <c r="H115" i="1"/>
  <c r="G115" i="1"/>
  <c r="L115" i="1" s="1"/>
  <c r="J114" i="1"/>
  <c r="H114" i="1"/>
  <c r="K114" i="1" s="1"/>
  <c r="L114" i="1" s="1"/>
  <c r="G114" i="1"/>
  <c r="J113" i="1"/>
  <c r="H113" i="1"/>
  <c r="G113" i="1"/>
  <c r="K112" i="1"/>
  <c r="L112" i="1" s="1"/>
  <c r="J112" i="1"/>
  <c r="G112" i="1"/>
  <c r="G111" i="1"/>
  <c r="K110" i="1"/>
  <c r="L110" i="1" s="1"/>
  <c r="J110" i="1"/>
  <c r="H110" i="1"/>
  <c r="G110" i="1"/>
  <c r="L109" i="1"/>
  <c r="K109" i="1"/>
  <c r="J109" i="1"/>
  <c r="G109" i="1"/>
  <c r="H108" i="1"/>
  <c r="G108" i="1"/>
  <c r="H107" i="1"/>
  <c r="G107" i="1"/>
  <c r="J106" i="1"/>
  <c r="H106" i="1"/>
  <c r="G106" i="1"/>
  <c r="G105" i="1"/>
  <c r="K104" i="1"/>
  <c r="L104" i="1" s="1"/>
  <c r="H104" i="1"/>
  <c r="G104" i="1"/>
  <c r="G103" i="1"/>
  <c r="K102" i="1"/>
  <c r="L102" i="1" s="1"/>
  <c r="J102" i="1"/>
  <c r="G102" i="1"/>
  <c r="H101" i="1"/>
  <c r="G101" i="1"/>
  <c r="J100" i="1"/>
  <c r="G100" i="1"/>
  <c r="J99" i="1"/>
  <c r="H99" i="1"/>
  <c r="G99" i="1"/>
  <c r="J98" i="1"/>
  <c r="H98" i="1"/>
  <c r="G98" i="1"/>
  <c r="J97" i="1"/>
  <c r="H97" i="1"/>
  <c r="G97" i="1"/>
  <c r="J96" i="1"/>
  <c r="H96" i="1"/>
  <c r="G96" i="1"/>
  <c r="J95" i="1"/>
  <c r="I95" i="1"/>
  <c r="K95" i="1" s="1"/>
  <c r="L95" i="1" s="1"/>
  <c r="G95" i="1"/>
  <c r="J94" i="1"/>
  <c r="H94" i="1"/>
  <c r="K94" i="1" s="1"/>
  <c r="L94" i="1" s="1"/>
  <c r="G94" i="1"/>
  <c r="K93" i="1"/>
  <c r="L93" i="1" s="1"/>
  <c r="J93" i="1"/>
  <c r="H93" i="1"/>
  <c r="G93" i="1"/>
  <c r="K92" i="1"/>
  <c r="J92" i="1"/>
  <c r="H92" i="1"/>
  <c r="G92" i="1"/>
  <c r="L92" i="1" s="1"/>
  <c r="L90" i="1"/>
  <c r="K90" i="1"/>
  <c r="M87" i="1" s="1"/>
  <c r="I90" i="1"/>
  <c r="G90" i="1"/>
  <c r="M89" i="1"/>
  <c r="K89" i="1"/>
  <c r="I89" i="1"/>
  <c r="G89" i="1"/>
  <c r="L89" i="1" s="1"/>
  <c r="O86" i="1"/>
  <c r="P86" i="1" s="1"/>
  <c r="J86" i="1"/>
  <c r="K86" i="1" s="1"/>
  <c r="G86" i="1"/>
  <c r="I85" i="1"/>
  <c r="G85" i="1"/>
  <c r="P84" i="1"/>
  <c r="O84" i="1"/>
  <c r="M84" i="1"/>
  <c r="K84" i="1"/>
  <c r="J84" i="1"/>
  <c r="G84" i="1"/>
  <c r="L84" i="1" s="1"/>
  <c r="P83" i="1"/>
  <c r="O83" i="1"/>
  <c r="J83" i="1"/>
  <c r="I83" i="1"/>
  <c r="H83" i="1"/>
  <c r="K83" i="1" s="1"/>
  <c r="M83" i="1" s="1"/>
  <c r="G83" i="1"/>
  <c r="P82" i="1"/>
  <c r="O82" i="1"/>
  <c r="M82" i="1"/>
  <c r="L82" i="1"/>
  <c r="K82" i="1"/>
  <c r="G82" i="1"/>
  <c r="P81" i="1"/>
  <c r="O81" i="1"/>
  <c r="G81" i="1"/>
  <c r="O80" i="1"/>
  <c r="P80" i="1" s="1"/>
  <c r="J80" i="1"/>
  <c r="K80" i="1" s="1"/>
  <c r="G80" i="1"/>
  <c r="P77" i="1"/>
  <c r="O77" i="1"/>
  <c r="K77" i="1"/>
  <c r="J77" i="1"/>
  <c r="H77" i="1"/>
  <c r="G77" i="1"/>
  <c r="P76" i="1"/>
  <c r="O76" i="1"/>
  <c r="K76" i="1"/>
  <c r="J76" i="1"/>
  <c r="H76" i="1"/>
  <c r="G76" i="1"/>
  <c r="P75" i="1"/>
  <c r="O75" i="1"/>
  <c r="K75" i="1"/>
  <c r="J75" i="1"/>
  <c r="H75" i="1"/>
  <c r="G75" i="1"/>
  <c r="P74" i="1"/>
  <c r="O74" i="1"/>
  <c r="H74" i="1"/>
  <c r="G74" i="1"/>
  <c r="P73" i="1"/>
  <c r="O73" i="1"/>
  <c r="G73" i="1"/>
  <c r="O72" i="1"/>
  <c r="P72" i="1" s="1"/>
  <c r="J72" i="1"/>
  <c r="K72" i="1" s="1"/>
  <c r="G72" i="1"/>
  <c r="P71" i="1"/>
  <c r="O71" i="1"/>
  <c r="G71" i="1"/>
  <c r="P70" i="1"/>
  <c r="O70" i="1"/>
  <c r="G70" i="1"/>
  <c r="P69" i="1"/>
  <c r="O69" i="1"/>
  <c r="K69" i="1"/>
  <c r="J69" i="1"/>
  <c r="G69" i="1"/>
  <c r="O68" i="1"/>
  <c r="P68" i="1" s="1"/>
  <c r="J68" i="1"/>
  <c r="K68" i="1" s="1"/>
  <c r="G68" i="1"/>
  <c r="P67" i="1"/>
  <c r="O67" i="1"/>
  <c r="H67" i="1"/>
  <c r="G67" i="1"/>
  <c r="P66" i="1"/>
  <c r="O66" i="1"/>
  <c r="G66" i="1"/>
  <c r="P65" i="1"/>
  <c r="O65" i="1"/>
  <c r="K65" i="1"/>
  <c r="J65" i="1"/>
  <c r="H65" i="1"/>
  <c r="G65" i="1"/>
  <c r="L65" i="1" s="1"/>
  <c r="P64" i="1"/>
  <c r="O64" i="1"/>
  <c r="G64" i="1"/>
  <c r="P63" i="1"/>
  <c r="O63" i="1"/>
  <c r="G63" i="1"/>
  <c r="P60" i="1"/>
  <c r="O60" i="1"/>
  <c r="K60" i="1"/>
  <c r="J60" i="1"/>
  <c r="I60" i="1"/>
  <c r="G60" i="1"/>
  <c r="L60" i="1" s="1"/>
  <c r="P59" i="1"/>
  <c r="O59" i="1"/>
  <c r="K59" i="1"/>
  <c r="M59" i="1" s="1"/>
  <c r="J59" i="1"/>
  <c r="I59" i="1"/>
  <c r="G59" i="1"/>
  <c r="L59" i="1" s="1"/>
  <c r="P58" i="1"/>
  <c r="O58" i="1"/>
  <c r="K58" i="1"/>
  <c r="M58" i="1" s="1"/>
  <c r="J58" i="1"/>
  <c r="I58" i="1"/>
  <c r="G58" i="1"/>
  <c r="L58" i="1" s="1"/>
  <c r="P57" i="1"/>
  <c r="O57" i="1"/>
  <c r="K57" i="1"/>
  <c r="J57" i="1"/>
  <c r="I57" i="1"/>
  <c r="G57" i="1"/>
  <c r="L57" i="1" s="1"/>
  <c r="P56" i="1"/>
  <c r="O56" i="1"/>
  <c r="I56" i="1"/>
  <c r="G56" i="1"/>
  <c r="J55" i="1"/>
  <c r="I55" i="1"/>
  <c r="K55" i="1" s="1"/>
  <c r="M55" i="1" s="1"/>
  <c r="G55" i="1"/>
  <c r="J54" i="1"/>
  <c r="I54" i="1"/>
  <c r="G54" i="1"/>
  <c r="J53" i="1"/>
  <c r="I53" i="1"/>
  <c r="G53" i="1"/>
  <c r="J52" i="1"/>
  <c r="I52" i="1"/>
  <c r="G52" i="1"/>
  <c r="J51" i="1"/>
  <c r="I51" i="1"/>
  <c r="G51" i="1"/>
  <c r="K50" i="1"/>
  <c r="I50" i="1"/>
  <c r="O50" i="1" s="1"/>
  <c r="P50" i="1" s="1"/>
  <c r="G50" i="1"/>
  <c r="L50" i="1" s="1"/>
  <c r="P49" i="1"/>
  <c r="O49" i="1"/>
  <c r="K49" i="1"/>
  <c r="J49" i="1"/>
  <c r="I49" i="1"/>
  <c r="G49" i="1"/>
  <c r="L49" i="1" s="1"/>
  <c r="P48" i="1"/>
  <c r="O48" i="1"/>
  <c r="K48" i="1"/>
  <c r="J48" i="1"/>
  <c r="I48" i="1"/>
  <c r="G48" i="1"/>
  <c r="L48" i="1" s="1"/>
  <c r="O45" i="1"/>
  <c r="P45" i="1" s="1"/>
  <c r="J45" i="1"/>
  <c r="K45" i="1" s="1"/>
  <c r="G45" i="1"/>
  <c r="P44" i="1"/>
  <c r="O44" i="1"/>
  <c r="H44" i="1"/>
  <c r="G44" i="1"/>
  <c r="P43" i="1"/>
  <c r="O43" i="1"/>
  <c r="G43" i="1"/>
  <c r="P42" i="1"/>
  <c r="O42" i="1"/>
  <c r="G42" i="1"/>
  <c r="O41" i="1"/>
  <c r="P41" i="1" s="1"/>
  <c r="K41" i="1"/>
  <c r="J41" i="1"/>
  <c r="G41" i="1"/>
  <c r="O40" i="1"/>
  <c r="P40" i="1" s="1"/>
  <c r="M40" i="1"/>
  <c r="J40" i="1"/>
  <c r="K40" i="1" s="1"/>
  <c r="G40" i="1"/>
  <c r="P39" i="1"/>
  <c r="O39" i="1"/>
  <c r="G39" i="1"/>
  <c r="P38" i="1"/>
  <c r="O38" i="1"/>
  <c r="G38" i="1"/>
  <c r="O37" i="1"/>
  <c r="P37" i="1" s="1"/>
  <c r="J37" i="1"/>
  <c r="K37" i="1" s="1"/>
  <c r="G37" i="1"/>
  <c r="P36" i="1"/>
  <c r="O36" i="1"/>
  <c r="L36" i="1"/>
  <c r="K36" i="1"/>
  <c r="M36" i="1" s="1"/>
  <c r="J36" i="1"/>
  <c r="G36" i="1"/>
  <c r="P35" i="1"/>
  <c r="O35" i="1"/>
  <c r="K35" i="1"/>
  <c r="M35" i="1" s="1"/>
  <c r="J35" i="1"/>
  <c r="G35" i="1"/>
  <c r="K34" i="1"/>
  <c r="M34" i="1" s="1"/>
  <c r="J34" i="1"/>
  <c r="O33" i="1"/>
  <c r="P33" i="1" s="1"/>
  <c r="J33" i="1"/>
  <c r="K33" i="1" s="1"/>
  <c r="G33" i="1"/>
  <c r="P32" i="1"/>
  <c r="O32" i="1"/>
  <c r="L32" i="1"/>
  <c r="K32" i="1"/>
  <c r="M32" i="1" s="1"/>
  <c r="J32" i="1"/>
  <c r="G32" i="1"/>
  <c r="P31" i="1"/>
  <c r="O31" i="1"/>
  <c r="K31" i="1"/>
  <c r="M31" i="1" s="1"/>
  <c r="J31" i="1"/>
  <c r="G31" i="1"/>
  <c r="O30" i="1"/>
  <c r="P30" i="1" s="1"/>
  <c r="J30" i="1"/>
  <c r="K30" i="1" s="1"/>
  <c r="G30" i="1"/>
  <c r="O29" i="1"/>
  <c r="P29" i="1" s="1"/>
  <c r="J29" i="1"/>
  <c r="K29" i="1" s="1"/>
  <c r="G29" i="1"/>
  <c r="P28" i="1"/>
  <c r="O28" i="1"/>
  <c r="L28" i="1"/>
  <c r="K28" i="1"/>
  <c r="M28" i="1" s="1"/>
  <c r="J28" i="1"/>
  <c r="G28" i="1"/>
  <c r="P27" i="1"/>
  <c r="O27" i="1"/>
  <c r="K27" i="1"/>
  <c r="M27" i="1" s="1"/>
  <c r="J27" i="1"/>
  <c r="G27" i="1"/>
  <c r="P24" i="1"/>
  <c r="O24" i="1"/>
  <c r="K24" i="1"/>
  <c r="M24" i="1" s="1"/>
  <c r="J24" i="1"/>
  <c r="H24" i="1"/>
  <c r="G24" i="1"/>
  <c r="L24" i="1" s="1"/>
  <c r="P23" i="1"/>
  <c r="O23" i="1"/>
  <c r="L23" i="1"/>
  <c r="K23" i="1"/>
  <c r="M23" i="1" s="1"/>
  <c r="J23" i="1"/>
  <c r="G23" i="1"/>
  <c r="P22" i="1"/>
  <c r="O22" i="1"/>
  <c r="K22" i="1"/>
  <c r="M22" i="1" s="1"/>
  <c r="J22" i="1"/>
  <c r="G22" i="1"/>
  <c r="O21" i="1"/>
  <c r="P21" i="1" s="1"/>
  <c r="J21" i="1"/>
  <c r="I21" i="1"/>
  <c r="H21" i="1"/>
  <c r="K21" i="1" s="1"/>
  <c r="G21" i="1"/>
  <c r="J20" i="1"/>
  <c r="H20" i="1"/>
  <c r="G20" i="1"/>
  <c r="K19" i="1"/>
  <c r="M19" i="1" s="1"/>
  <c r="J19" i="1"/>
  <c r="I19" i="1"/>
  <c r="I20" i="1" s="1"/>
  <c r="G19" i="1"/>
  <c r="L19" i="1" s="1"/>
  <c r="K18" i="1"/>
  <c r="M18" i="1" s="1"/>
  <c r="J18" i="1"/>
  <c r="I18" i="1"/>
  <c r="O18" i="1" s="1"/>
  <c r="P18" i="1" s="1"/>
  <c r="G18" i="1"/>
  <c r="L18" i="1" s="1"/>
  <c r="P17" i="1"/>
  <c r="O17" i="1"/>
  <c r="L17" i="1"/>
  <c r="K17" i="1"/>
  <c r="M17" i="1" s="1"/>
  <c r="J17" i="1"/>
  <c r="G17" i="1"/>
  <c r="P16" i="1"/>
  <c r="O16" i="1"/>
  <c r="K16" i="1"/>
  <c r="M16" i="1" s="1"/>
  <c r="J16" i="1"/>
  <c r="H16" i="1"/>
  <c r="G16" i="1"/>
  <c r="P15" i="1"/>
  <c r="O15" i="1"/>
  <c r="K15" i="1"/>
  <c r="M15" i="1" s="1"/>
  <c r="J15" i="1"/>
  <c r="G15" i="1"/>
  <c r="O14" i="1"/>
  <c r="P14" i="1" s="1"/>
  <c r="J14" i="1"/>
  <c r="H14" i="1"/>
  <c r="K14" i="1" s="1"/>
  <c r="G14" i="1"/>
  <c r="O13" i="1"/>
  <c r="P13" i="1" s="1"/>
  <c r="J13" i="1"/>
  <c r="I13" i="1"/>
  <c r="K13" i="1" s="1"/>
  <c r="G13" i="1"/>
  <c r="O12" i="1"/>
  <c r="P12" i="1" s="1"/>
  <c r="J12" i="1"/>
  <c r="K12" i="1" s="1"/>
  <c r="G12" i="1"/>
  <c r="O11" i="1"/>
  <c r="P11" i="1" s="1"/>
  <c r="J11" i="1"/>
  <c r="K11" i="1" s="1"/>
  <c r="G11" i="1"/>
  <c r="O10" i="1"/>
  <c r="P10" i="1" s="1"/>
  <c r="J10" i="1"/>
  <c r="K10" i="1" s="1"/>
  <c r="G10" i="1"/>
  <c r="P9" i="1"/>
  <c r="O9" i="1"/>
  <c r="K9" i="1"/>
  <c r="L9" i="1" s="1"/>
  <c r="J9" i="1"/>
  <c r="G9" i="1"/>
  <c r="M9" i="1" s="1"/>
  <c r="O8" i="1"/>
  <c r="P8" i="1" s="1"/>
  <c r="J8" i="1"/>
  <c r="I8" i="1"/>
  <c r="K8" i="1" s="1"/>
  <c r="G8" i="1"/>
  <c r="O7" i="1"/>
  <c r="P7" i="1" s="1"/>
  <c r="J7" i="1"/>
  <c r="I7" i="1"/>
  <c r="K7" i="1" s="1"/>
  <c r="G7" i="1"/>
  <c r="J6" i="1"/>
  <c r="H6" i="1"/>
  <c r="G6" i="1"/>
  <c r="J5" i="1"/>
  <c r="I5" i="1"/>
  <c r="K5" i="1" s="1"/>
  <c r="H5" i="1"/>
  <c r="G5" i="1"/>
  <c r="O4" i="1"/>
  <c r="P4" i="1" s="1"/>
  <c r="J4" i="1"/>
  <c r="K4" i="1" s="1"/>
  <c r="I4" i="1"/>
  <c r="I96" i="1" s="1"/>
  <c r="K96" i="1" s="1"/>
  <c r="L96" i="1" s="1"/>
  <c r="G4" i="1"/>
  <c r="E152" i="1" s="1"/>
  <c r="A1" i="1"/>
  <c r="L13" i="1" l="1"/>
  <c r="M13" i="1"/>
  <c r="M10" i="1"/>
  <c r="L10" i="1"/>
  <c r="M5" i="1"/>
  <c r="L5" i="1"/>
  <c r="L30" i="1"/>
  <c r="M30" i="1"/>
  <c r="L12" i="1"/>
  <c r="M12" i="1"/>
  <c r="K20" i="1"/>
  <c r="O20" i="1"/>
  <c r="P20" i="1" s="1"/>
  <c r="M29" i="1"/>
  <c r="L29" i="1"/>
  <c r="M4" i="1"/>
  <c r="L4" i="1"/>
  <c r="L14" i="1"/>
  <c r="M14" i="1"/>
  <c r="L21" i="1"/>
  <c r="M21" i="1"/>
  <c r="L7" i="1"/>
  <c r="M7" i="1"/>
  <c r="L8" i="1"/>
  <c r="M8" i="1"/>
  <c r="M11" i="1"/>
  <c r="L11" i="1"/>
  <c r="M33" i="1"/>
  <c r="L33" i="1"/>
  <c r="M37" i="1"/>
  <c r="L37" i="1"/>
  <c r="O5" i="1"/>
  <c r="P5" i="1" s="1"/>
  <c r="I6" i="1"/>
  <c r="O6" i="1" s="1"/>
  <c r="P6" i="1" s="1"/>
  <c r="M41" i="1"/>
  <c r="L41" i="1"/>
  <c r="M45" i="1"/>
  <c r="L45" i="1"/>
  <c r="M49" i="1"/>
  <c r="M60" i="1"/>
  <c r="M65" i="1"/>
  <c r="M75" i="1"/>
  <c r="L75" i="1"/>
  <c r="M77" i="1"/>
  <c r="L77" i="1"/>
  <c r="M80" i="1"/>
  <c r="L80" i="1"/>
  <c r="L83" i="1"/>
  <c r="I97" i="1"/>
  <c r="I98" i="1" s="1"/>
  <c r="K113" i="1"/>
  <c r="L113" i="1" s="1"/>
  <c r="K121" i="1"/>
  <c r="L121" i="1" s="1"/>
  <c r="K133" i="1"/>
  <c r="L133" i="1" s="1"/>
  <c r="K51" i="1"/>
  <c r="O51" i="1"/>
  <c r="P51" i="1" s="1"/>
  <c r="K52" i="1"/>
  <c r="O52" i="1"/>
  <c r="P52" i="1" s="1"/>
  <c r="K53" i="1"/>
  <c r="O53" i="1"/>
  <c r="P53" i="1" s="1"/>
  <c r="K54" i="1"/>
  <c r="O54" i="1"/>
  <c r="P54" i="1" s="1"/>
  <c r="M86" i="1"/>
  <c r="L86" i="1"/>
  <c r="G161" i="1"/>
  <c r="L15" i="1"/>
  <c r="L16" i="1"/>
  <c r="L22" i="1"/>
  <c r="L27" i="1"/>
  <c r="L31" i="1"/>
  <c r="L35" i="1"/>
  <c r="M68" i="1"/>
  <c r="L68" i="1"/>
  <c r="M69" i="1"/>
  <c r="L69" i="1"/>
  <c r="M72" i="1"/>
  <c r="L72" i="1"/>
  <c r="M76" i="1"/>
  <c r="L76" i="1"/>
  <c r="O85" i="1"/>
  <c r="P85" i="1" s="1"/>
  <c r="K129" i="1"/>
  <c r="L129" i="1" s="1"/>
  <c r="O19" i="1"/>
  <c r="P19" i="1" s="1"/>
  <c r="L40" i="1"/>
  <c r="M50" i="1"/>
  <c r="M57" i="1"/>
  <c r="K97" i="1"/>
  <c r="L97" i="1" s="1"/>
  <c r="K106" i="1"/>
  <c r="L106" i="1" s="1"/>
  <c r="K117" i="1"/>
  <c r="L117" i="1" s="1"/>
  <c r="K125" i="1"/>
  <c r="L125" i="1" s="1"/>
  <c r="J135" i="1"/>
  <c r="K135" i="1" s="1"/>
  <c r="L135" i="1" s="1"/>
  <c r="J132" i="1"/>
  <c r="K132" i="1" s="1"/>
  <c r="L132" i="1" s="1"/>
  <c r="J124" i="1"/>
  <c r="K124" i="1" s="1"/>
  <c r="L124" i="1" s="1"/>
  <c r="J111" i="1"/>
  <c r="K111" i="1" s="1"/>
  <c r="L111" i="1" s="1"/>
  <c r="J105" i="1"/>
  <c r="K105" i="1" s="1"/>
  <c r="L105" i="1" s="1"/>
  <c r="J103" i="1"/>
  <c r="K103" i="1" s="1"/>
  <c r="L103" i="1" s="1"/>
  <c r="J101" i="1"/>
  <c r="K101" i="1" s="1"/>
  <c r="L101" i="1" s="1"/>
  <c r="J81" i="1"/>
  <c r="K81" i="1" s="1"/>
  <c r="J74" i="1"/>
  <c r="K74" i="1" s="1"/>
  <c r="J73" i="1"/>
  <c r="K73" i="1" s="1"/>
  <c r="J63" i="1"/>
  <c r="K63" i="1" s="1"/>
  <c r="J134" i="1"/>
  <c r="K134" i="1" s="1"/>
  <c r="L134" i="1" s="1"/>
  <c r="J123" i="1"/>
  <c r="K123" i="1" s="1"/>
  <c r="L123" i="1" s="1"/>
  <c r="J119" i="1"/>
  <c r="K119" i="1" s="1"/>
  <c r="L119" i="1" s="1"/>
  <c r="J108" i="1"/>
  <c r="K108" i="1" s="1"/>
  <c r="L108" i="1" s="1"/>
  <c r="J70" i="1"/>
  <c r="K70" i="1" s="1"/>
  <c r="J64" i="1"/>
  <c r="K64" i="1" s="1"/>
  <c r="J56" i="1"/>
  <c r="K56" i="1" s="1"/>
  <c r="J42" i="1"/>
  <c r="K42" i="1" s="1"/>
  <c r="J38" i="1"/>
  <c r="K38" i="1" s="1"/>
  <c r="E163" i="1"/>
  <c r="G163" i="1" s="1"/>
  <c r="J122" i="1"/>
  <c r="K122" i="1" s="1"/>
  <c r="L122" i="1" s="1"/>
  <c r="J107" i="1"/>
  <c r="K107" i="1" s="1"/>
  <c r="L107" i="1" s="1"/>
  <c r="J85" i="1"/>
  <c r="K85" i="1" s="1"/>
  <c r="J71" i="1"/>
  <c r="K71" i="1" s="1"/>
  <c r="J67" i="1"/>
  <c r="K67" i="1" s="1"/>
  <c r="J66" i="1"/>
  <c r="K66" i="1" s="1"/>
  <c r="J44" i="1"/>
  <c r="K44" i="1" s="1"/>
  <c r="J43" i="1"/>
  <c r="K43" i="1" s="1"/>
  <c r="J39" i="1"/>
  <c r="K39" i="1" s="1"/>
  <c r="E164" i="1"/>
  <c r="G164" i="1" s="1"/>
  <c r="P153" i="1"/>
  <c r="M48" i="1"/>
  <c r="M90" i="1"/>
  <c r="H100" i="1"/>
  <c r="K100" i="1" s="1"/>
  <c r="L100" i="1" s="1"/>
  <c r="E159" i="1"/>
  <c r="G159" i="1" s="1"/>
  <c r="E167" i="1"/>
  <c r="G167" i="1" s="1"/>
  <c r="E158" i="1"/>
  <c r="G158" i="1" s="1"/>
  <c r="E162" i="1"/>
  <c r="G162" i="1" s="1"/>
  <c r="L67" i="1" l="1"/>
  <c r="M67" i="1"/>
  <c r="L44" i="1"/>
  <c r="M44" i="1"/>
  <c r="L85" i="1"/>
  <c r="M85" i="1"/>
  <c r="M25" i="1"/>
  <c r="M78" i="1"/>
  <c r="M42" i="1"/>
  <c r="L42" i="1"/>
  <c r="L54" i="1"/>
  <c r="M54" i="1"/>
  <c r="L52" i="1"/>
  <c r="M52" i="1"/>
  <c r="K98" i="1"/>
  <c r="I99" i="1"/>
  <c r="K99" i="1" s="1"/>
  <c r="L99" i="1" s="1"/>
  <c r="M20" i="1"/>
  <c r="L20" i="1"/>
  <c r="M63" i="1"/>
  <c r="L63" i="1"/>
  <c r="M61" i="1"/>
  <c r="M73" i="1"/>
  <c r="L73" i="1"/>
  <c r="M56" i="1"/>
  <c r="L56" i="1"/>
  <c r="L71" i="1"/>
  <c r="M71" i="1"/>
  <c r="M64" i="1"/>
  <c r="L64" i="1"/>
  <c r="M74" i="1"/>
  <c r="L74" i="1"/>
  <c r="L53" i="1"/>
  <c r="M53" i="1"/>
  <c r="L51" i="1"/>
  <c r="M51" i="1"/>
  <c r="L66" i="1"/>
  <c r="M66" i="1"/>
  <c r="M39" i="1"/>
  <c r="L39" i="1"/>
  <c r="M43" i="1"/>
  <c r="L43" i="1"/>
  <c r="M38" i="1"/>
  <c r="L38" i="1"/>
  <c r="M70" i="1"/>
  <c r="L70" i="1"/>
  <c r="M81" i="1"/>
  <c r="L81" i="1"/>
  <c r="M46" i="1"/>
  <c r="K6" i="1"/>
  <c r="L6" i="1" l="1"/>
  <c r="M6" i="1"/>
  <c r="M2" i="1"/>
  <c r="K152" i="1"/>
  <c r="K153" i="1" s="1"/>
  <c r="L98" i="1"/>
  <c r="M91" i="1"/>
  <c r="P152" i="1" l="1"/>
  <c r="P91" i="1" s="1"/>
  <c r="K155" i="1" l="1"/>
  <c r="E155" i="1" s="1"/>
  <c r="P87" i="1" s="1"/>
  <c r="P155" i="1" s="1"/>
  <c r="P154" i="1"/>
  <c r="P78" i="1"/>
  <c r="P46" i="1"/>
  <c r="P25" i="1"/>
  <c r="P61" i="1"/>
  <c r="P2" i="1"/>
</calcChain>
</file>

<file path=xl/sharedStrings.xml><?xml version="1.0" encoding="utf-8"?>
<sst xmlns="http://schemas.openxmlformats.org/spreadsheetml/2006/main" count="516" uniqueCount="336">
  <si>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</si>
  <si>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</si>
  <si>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</si>
  <si>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</si>
  <si>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</si>
  <si>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</si>
  <si>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</si>
  <si>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</si>
  <si>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</si>
  <si>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</si>
  <si>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</si>
  <si>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</si>
  <si>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</si>
  <si>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</si>
  <si>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</si>
  <si>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</si>
  <si>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</si>
  <si>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</si>
  <si>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</si>
  <si>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</si>
  <si>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</si>
  <si>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</si>
  <si>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</si>
  <si>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</si>
  <si>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</si>
  <si>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</si>
  <si>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</si>
  <si>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</si>
  <si>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</si>
  <si>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</si>
  <si>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</si>
  <si>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</si>
  <si>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</si>
  <si>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</si>
  <si>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</si>
  <si>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</si>
  <si>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9a. Gold Royalty Corp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</si>
  <si>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</si>
  <si>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</si>
  <si>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</si>
  <si>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</si>
  <si>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</si>
  <si>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</si>
  <si>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</si>
  <si>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</si>
  <si>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</si>
  <si>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</si>
  <si>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</si>
  <si>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</si>
  <si>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</si>
  <si>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15. EMX Royalty Corp</t>
  </si>
  <si>
    <t>EMX</t>
  </si>
  <si>
    <t>16. Elemental Altus Royalties</t>
  </si>
  <si>
    <t>ELE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</si>
  <si>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</si>
  <si>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</si>
  <si>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</si>
  <si>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</si>
  <si>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</si>
  <si>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</si>
  <si>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</si>
  <si>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</si>
  <si>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</si>
  <si>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</si>
  <si>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</si>
  <si>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</si>
  <si>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</si>
  <si>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</si>
  <si>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</si>
  <si>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</si>
  <si>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</si>
  <si>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</si>
  <si>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</si>
  <si>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</si>
  <si>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</si>
  <si>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</si>
  <si>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</si>
  <si>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</si>
  <si>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</si>
  <si>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</si>
  <si>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</si>
  <si>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</si>
  <si>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</si>
  <si>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</si>
  <si>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</si>
  <si>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</si>
  <si>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</si>
  <si>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</si>
  <si>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</si>
  <si>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</si>
  <si>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</si>
  <si>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</si>
  <si>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</si>
  <si>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</si>
  <si>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</si>
  <si>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</si>
  <si>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</si>
  <si>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</si>
  <si>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</si>
  <si>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</si>
  <si>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SHELL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</si>
  <si>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</si>
  <si>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</si>
  <si>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</si>
  <si>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</si>
  <si>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</si>
  <si>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</si>
  <si>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</si>
  <si>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</si>
  <si>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</si>
  <si>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</si>
  <si>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</si>
  <si>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</si>
  <si>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</si>
  <si>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</si>
  <si>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</si>
  <si>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12. Viper Energy Partners LP</t>
  </si>
  <si>
    <t>VNOM</t>
  </si>
  <si>
    <t>13. Black Stone Minerals</t>
  </si>
  <si>
    <t>BSM</t>
  </si>
  <si>
    <t>14. Petrobras</t>
  </si>
  <si>
    <t>PBR</t>
  </si>
  <si>
    <t>Uranium (10-15 open positions)</t>
  </si>
  <si>
    <t>10. Encore Energy Corp</t>
  </si>
  <si>
    <t>EU</t>
  </si>
  <si>
    <t>16. Fission Uranium Corp</t>
  </si>
  <si>
    <t>FCU</t>
  </si>
  <si>
    <t>18. Deep Yellow Ltd</t>
  </si>
  <si>
    <t>DYL</t>
  </si>
  <si>
    <t>19. Consolidated Uranium (+17. VUI)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</si>
  <si>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</si>
  <si>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</si>
  <si>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</si>
  <si>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</si>
  <si>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</si>
  <si>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</si>
  <si>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</si>
  <si>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</si>
  <si>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</si>
  <si>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</si>
  <si>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</si>
  <si>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</si>
  <si>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</si>
  <si>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</si>
  <si>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</si>
  <si>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7b. Global Atomic</t>
  </si>
  <si>
    <t>GLO</t>
  </si>
  <si>
    <t>13a. Peninsula Energy</t>
  </si>
  <si>
    <t>PEN</t>
  </si>
  <si>
    <t>9a. Bannerman Resources Ltd</t>
  </si>
  <si>
    <t>BMN</t>
  </si>
  <si>
    <t>5e. Uranium Energy Inc</t>
  </si>
  <si>
    <t>UEC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</si>
  <si>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</si>
  <si>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</si>
  <si>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</si>
  <si>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</si>
  <si>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</si>
  <si>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</si>
  <si>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</si>
  <si>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</si>
  <si>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</si>
  <si>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</si>
  <si>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</si>
  <si>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</si>
  <si>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</si>
  <si>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</si>
  <si>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</si>
  <si>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Crypto's box, max 10-15 open  positions</t>
  </si>
  <si>
    <t xml:space="preserve">32a. Crypto.com </t>
  </si>
  <si>
    <t>CRO</t>
  </si>
  <si>
    <t>42. Polkadot</t>
  </si>
  <si>
    <t>DOT</t>
  </si>
  <si>
    <t>Free Growth Stocks (FGS) &amp; Free stocks (FS)</t>
  </si>
  <si>
    <t>6. First Majestic Silver</t>
  </si>
  <si>
    <t>precious</t>
  </si>
  <si>
    <t>6a. First Majestic Silver</t>
  </si>
  <si>
    <t>3a</t>
  </si>
  <si>
    <t>6b. First Majestic Silver</t>
  </si>
  <si>
    <t>3b</t>
  </si>
  <si>
    <t>8. Franco Nevada</t>
  </si>
  <si>
    <t>FNV</t>
  </si>
  <si>
    <t>9. Sandstorm Gold</t>
  </si>
  <si>
    <t>9a. Sandstorm Gold</t>
  </si>
  <si>
    <t>6a</t>
  </si>
  <si>
    <t>9b. Sandstorm Gold</t>
  </si>
  <si>
    <t>6b</t>
  </si>
  <si>
    <t>9c. Sandstorm Gold</t>
  </si>
  <si>
    <t>6c</t>
  </si>
  <si>
    <t>9d. Sandstorm Gold</t>
  </si>
  <si>
    <t>6d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</si>
  <si>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</si>
  <si>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</si>
  <si>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</si>
  <si>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</si>
  <si>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</si>
  <si>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</si>
  <si>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</si>
  <si>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</si>
  <si>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</si>
  <si>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</si>
  <si>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</si>
  <si>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</si>
  <si>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</si>
  <si>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</si>
  <si>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</si>
  <si>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</si>
  <si>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</si>
  <si>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</si>
  <si>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</si>
  <si>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</si>
  <si>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</si>
  <si>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</si>
  <si>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</si>
  <si>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</si>
  <si>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28a. Uranium Energy Corp</t>
  </si>
  <si>
    <t>4a</t>
  </si>
  <si>
    <t>28b. Uranium Energy Corp</t>
  </si>
  <si>
    <t>4b</t>
  </si>
  <si>
    <t>28c. Uranium Energy Corp</t>
  </si>
  <si>
    <t>4c</t>
  </si>
  <si>
    <t>28d. Uranium Energy Corp</t>
  </si>
  <si>
    <t>4d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</si>
  <si>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</si>
  <si>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</si>
  <si>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</si>
  <si>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</si>
  <si>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</si>
  <si>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</si>
  <si>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</si>
  <si>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37. Bannerman Resources ltd</t>
  </si>
  <si>
    <t>38. Anfield Energy Inc</t>
  </si>
  <si>
    <t>AEC</t>
  </si>
  <si>
    <t>40. Vizsla Silver Corp</t>
  </si>
  <si>
    <t>VZLA</t>
  </si>
  <si>
    <t>42. Global Atomic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</si>
  <si>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</si>
  <si>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</si>
  <si>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</si>
  <si>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</si>
  <si>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</si>
  <si>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</si>
  <si>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</si>
  <si>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</si>
  <si>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</si>
  <si>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</si>
  <si>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</si>
  <si>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</si>
  <si>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</si>
  <si>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</si>
  <si>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</si>
  <si>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Metalla Royalty Corp</t>
  </si>
  <si>
    <t>nvt</t>
  </si>
  <si>
    <t xml:space="preserve">VOX Royalty Corp </t>
  </si>
  <si>
    <t>Goldstorm Metals Corp</t>
  </si>
  <si>
    <t>GSTM</t>
  </si>
  <si>
    <t>Closed positions</t>
  </si>
  <si>
    <t>Results</t>
  </si>
  <si>
    <t>ticker</t>
  </si>
  <si>
    <t>date</t>
  </si>
  <si>
    <t>profit</t>
  </si>
  <si>
    <t>Resultaat 2018-20</t>
  </si>
  <si>
    <t>Resultaat 2021</t>
  </si>
  <si>
    <t>Resultaat 2022</t>
  </si>
  <si>
    <t>Short trades 2022</t>
  </si>
  <si>
    <t>Options 2022</t>
  </si>
  <si>
    <t>Short positions &amp; option trades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</si>
  <si>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</si>
  <si>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</si>
  <si>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</si>
  <si>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</si>
  <si>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</si>
  <si>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</si>
  <si>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</si>
  <si>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</si>
  <si>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</si>
  <si>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</si>
  <si>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</si>
  <si>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</si>
  <si>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</si>
  <si>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</si>
  <si>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Aandelen waarmee we handelen en aandelen waarvan FS kunnen krijgen, m.a.w. korte termijn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</si>
  <si>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</si>
  <si>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</si>
  <si>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</si>
  <si>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</si>
  <si>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</si>
  <si>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</si>
  <si>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</si>
  <si>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</si>
  <si>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</si>
  <si>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</si>
  <si>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</si>
  <si>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</si>
  <si>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</si>
  <si>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</si>
  <si>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</si>
  <si>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</si>
  <si>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</si>
  <si>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</si>
  <si>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</si>
  <si>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</si>
  <si>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</si>
  <si>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</si>
  <si>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</si>
  <si>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</si>
  <si>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</si>
  <si>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</si>
  <si>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</si>
  <si>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</si>
  <si>
    <t>B2Gold Corporation</t>
  </si>
  <si>
    <t>BTG</t>
  </si>
  <si>
    <t>NYSE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</si>
  <si>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</si>
  <si>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</si>
  <si>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</si>
  <si>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</si>
  <si>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</si>
  <si>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</si>
  <si>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</si>
  <si>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</si>
  <si>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</si>
  <si>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Buy on recent dip in Gold</t>
  </si>
  <si>
    <t>Star Royalties Ltd</t>
  </si>
  <si>
    <t>STRR</t>
  </si>
  <si>
    <t>TSX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</si>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</sst>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_([$€-2]\ * #,##0.00_);_([$€-2]\ * \(#,##0.00\);_([$€-2]\ * &quot;-&quot;??_);_(@_)"/>
    <numFmt numFmtId="171" formatCode="_(* #,##0.0000_);_(* \(#,##0.0000\);_(* &quot;-&quot;??_);_(@_)"/>
    <numFmt numFmtId="172" formatCode="_(&quot;€&quot;\ * #,##0_);_(&quot;€&quot;\ * \(#,##0\);_(&quot;€&quot;\ * &quot;-&quot;??_);_(@_)"/>
    <numFmt numFmtId="173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43" fontId="7" fillId="0" borderId="1" xfId="0" applyNumberFormat="1" applyFont="1" applyBorder="1" applyAlignment="1">
      <alignment horizontal="center"/>
    </xf>
    <xf numFmtId="0" fontId="4" fillId="6" borderId="1" xfId="0" applyFont="1" applyFill="1" applyBorder="1"/>
    <xf numFmtId="166" fontId="8" fillId="0" borderId="1" xfId="3" applyNumberFormat="1" applyFont="1" applyBorder="1"/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8" fillId="0" borderId="1" xfId="3" applyNumberFormat="1" applyFont="1" applyBorder="1"/>
    <xf numFmtId="168" fontId="4" fillId="0" borderId="1" xfId="1" applyNumberFormat="1" applyFont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7" fillId="0" borderId="1" xfId="3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0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/>
    <xf numFmtId="171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2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166" fontId="8" fillId="0" borderId="1" xfId="3" applyNumberFormat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4" fontId="4" fillId="0" borderId="3" xfId="0" applyNumberFormat="1" applyFont="1" applyBorder="1"/>
    <xf numFmtId="167" fontId="4" fillId="0" borderId="3" xfId="0" applyNumberFormat="1" applyFont="1" applyBorder="1"/>
    <xf numFmtId="43" fontId="4" fillId="0" borderId="3" xfId="1" applyFont="1" applyBorder="1"/>
    <xf numFmtId="165" fontId="4" fillId="0" borderId="3" xfId="0" applyNumberFormat="1" applyFont="1" applyBorder="1"/>
    <xf numFmtId="2" fontId="6" fillId="4" borderId="3" xfId="0" applyNumberFormat="1" applyFont="1" applyFill="1" applyBorder="1"/>
    <xf numFmtId="1" fontId="4" fillId="0" borderId="3" xfId="0" applyNumberFormat="1" applyFont="1" applyBorder="1"/>
    <xf numFmtId="166" fontId="8" fillId="0" borderId="3" xfId="3" applyNumberFormat="1" applyFont="1" applyBorder="1"/>
    <xf numFmtId="165" fontId="4" fillId="0" borderId="3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172" fontId="4" fillId="0" borderId="1" xfId="2" applyNumberFormat="1" applyFont="1" applyBorder="1" applyAlignment="1">
      <alignment horizontal="center"/>
    </xf>
    <xf numFmtId="44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7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2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3" fontId="3" fillId="0" borderId="1" xfId="0" applyNumberFormat="1" applyFont="1" applyBorder="1"/>
    <xf numFmtId="173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43" fontId="4" fillId="4" borderId="1" xfId="1" applyFont="1" applyFill="1" applyBorder="1"/>
    <xf numFmtId="43" fontId="4" fillId="0" borderId="1" xfId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Beleggen/1.%20Tabellen%20voor%20nieuwsbri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2021"/>
      <sheetName val="6B "/>
      <sheetName val="trading"/>
      <sheetName val="Copper plays"/>
      <sheetName val="Trader Ferg"/>
      <sheetName val="crypto"/>
      <sheetName val="Metals all"/>
      <sheetName val="Highscore List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4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1.0763104079216446</v>
          </cell>
          <cell r="J3">
            <v>5.57</v>
          </cell>
          <cell r="Z3">
            <v>2872</v>
          </cell>
        </row>
        <row r="4">
          <cell r="D4">
            <v>1.4797277300976621</v>
          </cell>
          <cell r="Z4">
            <v>3.79</v>
          </cell>
        </row>
        <row r="5">
          <cell r="D5">
            <v>1.6196954972465178</v>
          </cell>
          <cell r="J5">
            <v>3.75</v>
          </cell>
          <cell r="P5">
            <v>0.51</v>
          </cell>
          <cell r="Z5">
            <v>48.55</v>
          </cell>
        </row>
        <row r="6">
          <cell r="D6">
            <v>0.88004928275983452</v>
          </cell>
          <cell r="S6">
            <v>351.5</v>
          </cell>
          <cell r="Z6">
            <v>20.32</v>
          </cell>
        </row>
        <row r="7">
          <cell r="P7">
            <v>0.30499999999999999</v>
          </cell>
          <cell r="V7">
            <v>0.85699999999999998</v>
          </cell>
          <cell r="Z7">
            <v>2.79</v>
          </cell>
        </row>
        <row r="8">
          <cell r="Z8">
            <v>0.375</v>
          </cell>
        </row>
        <row r="9">
          <cell r="J9">
            <v>2.17</v>
          </cell>
          <cell r="V9">
            <v>2.73</v>
          </cell>
          <cell r="Z9">
            <v>0.6</v>
          </cell>
        </row>
        <row r="10">
          <cell r="J10">
            <v>5.15</v>
          </cell>
          <cell r="V10">
            <v>0.22</v>
          </cell>
          <cell r="Z10">
            <v>4.76</v>
          </cell>
        </row>
        <row r="11">
          <cell r="V11">
            <v>0.56999999999999995</v>
          </cell>
          <cell r="Z11">
            <v>4.3499999999999996</v>
          </cell>
        </row>
        <row r="12">
          <cell r="P12">
            <v>4.96</v>
          </cell>
          <cell r="V12">
            <v>2.4700000000000002</v>
          </cell>
          <cell r="Z12">
            <v>0.17829999999999999</v>
          </cell>
        </row>
        <row r="13">
          <cell r="J13">
            <v>8.1999999999999993</v>
          </cell>
          <cell r="P13">
            <v>2.76</v>
          </cell>
          <cell r="V13">
            <v>0.13</v>
          </cell>
        </row>
        <row r="14">
          <cell r="J14">
            <v>6.55</v>
          </cell>
          <cell r="V14">
            <v>1.31</v>
          </cell>
        </row>
        <row r="15">
          <cell r="V15">
            <v>5.5E-2</v>
          </cell>
        </row>
        <row r="16">
          <cell r="J16">
            <v>1.31</v>
          </cell>
          <cell r="V16">
            <v>1.97</v>
          </cell>
        </row>
        <row r="17">
          <cell r="V17">
            <v>2.64</v>
          </cell>
        </row>
        <row r="18">
          <cell r="V18">
            <v>0.97309999999999997</v>
          </cell>
        </row>
        <row r="19">
          <cell r="V19">
            <v>2.16</v>
          </cell>
        </row>
        <row r="20">
          <cell r="M20">
            <v>0.05</v>
          </cell>
          <cell r="V20">
            <v>4.5</v>
          </cell>
        </row>
        <row r="21">
          <cell r="V21">
            <v>0.22</v>
          </cell>
        </row>
      </sheetData>
      <sheetData sheetId="1"/>
      <sheetData sheetId="2"/>
      <sheetData sheetId="3">
        <row r="28">
          <cell r="G28">
            <v>-807.64506880068973</v>
          </cell>
          <cell r="J28">
            <v>539.97127079142126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P7">
            <v>5.7369999999999992</v>
          </cell>
        </row>
        <row r="8">
          <cell r="P8">
            <v>1.17</v>
          </cell>
        </row>
        <row r="9">
          <cell r="P9">
            <v>1.1400000000000001</v>
          </cell>
        </row>
        <row r="10">
          <cell r="P10">
            <v>8.06</v>
          </cell>
        </row>
        <row r="12">
          <cell r="P12">
            <v>0.24</v>
          </cell>
        </row>
        <row r="13">
          <cell r="P13">
            <v>1.7149999999999999</v>
          </cell>
        </row>
        <row r="14">
          <cell r="P14">
            <v>0.122</v>
          </cell>
        </row>
        <row r="15">
          <cell r="P15">
            <v>8.2000000000000003E-2</v>
          </cell>
        </row>
        <row r="16">
          <cell r="P16">
            <v>0.75</v>
          </cell>
        </row>
        <row r="17">
          <cell r="P17">
            <v>8</v>
          </cell>
        </row>
        <row r="19">
          <cell r="P19">
            <v>0.78999999999999981</v>
          </cell>
        </row>
        <row r="20">
          <cell r="P20">
            <v>2.25</v>
          </cell>
        </row>
        <row r="21">
          <cell r="P21">
            <v>0.98</v>
          </cell>
        </row>
        <row r="22">
          <cell r="P22">
            <v>1.05</v>
          </cell>
        </row>
        <row r="23">
          <cell r="P23">
            <v>0.92500000000000004</v>
          </cell>
        </row>
        <row r="24">
          <cell r="P24">
            <v>5.2649999999999997</v>
          </cell>
        </row>
        <row r="25">
          <cell r="P25">
            <v>4.915</v>
          </cell>
        </row>
        <row r="26">
          <cell r="P26">
            <v>2.4900000000000002</v>
          </cell>
        </row>
        <row r="27">
          <cell r="P27">
            <v>3</v>
          </cell>
        </row>
        <row r="28">
          <cell r="P28">
            <v>1.4E-2</v>
          </cell>
        </row>
        <row r="29">
          <cell r="P29">
            <v>0</v>
          </cell>
        </row>
        <row r="45">
          <cell r="P45">
            <v>0.04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5531-6C08-E24B-B4FE-6FCA6C7080DE}">
  <dimension ref="A1:P167"/>
  <sheetViews>
    <sheetView tabSelected="1" workbookViewId="0">
      <selection activeCell="Q3" sqref="Q3"/>
    </sheetView>
  </sheetViews>
  <sheetFormatPr baseColWidth="10" defaultRowHeight="16" x14ac:dyDescent="0.2"/>
  <cols>
    <col min="1" max="1" width="25.33203125" bestFit="1" customWidth="1"/>
    <col min="2" max="2" width="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6.1640625" customWidth="1"/>
    <col min="12" max="12" width="6.33203125" bestFit="1" customWidth="1"/>
    <col min="13" max="13" width="7.66406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45011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SUM(K4:K24)</f>
        <v>14917.866825000001</v>
      </c>
      <c r="N2" s="10"/>
      <c r="O2" s="11"/>
      <c r="P2" s="12">
        <f>M2/P152</f>
        <v>0.2813185446391761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24" si="0">(F4*D4)/E4</f>
        <v>537.14091449940497</v>
      </c>
      <c r="H4" s="25">
        <v>5.57</v>
      </c>
      <c r="I4" s="26">
        <f>[1]Dividend!P15</f>
        <v>8.2000000000000003E-2</v>
      </c>
      <c r="J4" s="22">
        <f>C146</f>
        <v>1.0763104079216446</v>
      </c>
      <c r="K4" s="24">
        <f t="shared" ref="K4:K24" si="1">((H4+I4)/J4)*D4</f>
        <v>525.12732000000005</v>
      </c>
      <c r="L4" s="27">
        <f t="shared" ref="L4:L24" si="2">(K4-G4)/G4</f>
        <v>-2.236581532911365E-2</v>
      </c>
      <c r="M4" s="28">
        <f t="shared" ref="M4:M24" si="3">K4-G4</f>
        <v>-12.013594499404917</v>
      </c>
      <c r="N4" s="29">
        <v>8.91</v>
      </c>
      <c r="O4" s="30">
        <f>(N4+I4)*0.75</f>
        <v>6.7440000000000007</v>
      </c>
      <c r="P4" s="31">
        <f t="shared" ref="P4:P24" si="4">O4-F4</f>
        <v>0.42400000000000038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'[1]auto data'!J3</f>
        <v>5.57</v>
      </c>
      <c r="I5" s="26">
        <f>[1]Dividend!P15-0.032</f>
        <v>0.05</v>
      </c>
      <c r="J5" s="22">
        <f>C146</f>
        <v>1.0763104079216446</v>
      </c>
      <c r="K5" s="24">
        <f t="shared" si="1"/>
        <v>522.15420000000006</v>
      </c>
      <c r="L5" s="27">
        <f>(K5-G5)/G5</f>
        <v>-0.19676235226373615</v>
      </c>
      <c r="M5" s="28">
        <f>K5-G5</f>
        <v>-127.90771065815784</v>
      </c>
      <c r="N5" s="29">
        <v>6.83</v>
      </c>
      <c r="O5" s="30">
        <f>(N5+I5)*0.75</f>
        <v>5.16</v>
      </c>
      <c r="P5" s="33">
        <f>O5-F5</f>
        <v>-1.665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'[1]auto data'!J3</f>
        <v>5.57</v>
      </c>
      <c r="I6" s="26">
        <f>I5</f>
        <v>0.05</v>
      </c>
      <c r="J6" s="22">
        <f>C146</f>
        <v>1.0763104079216446</v>
      </c>
      <c r="K6" s="24">
        <f t="shared" si="1"/>
        <v>522.15420000000006</v>
      </c>
      <c r="L6" s="27">
        <f>(K6-G6)/G6</f>
        <v>-0.15149942500000002</v>
      </c>
      <c r="M6" s="28">
        <f>K6-G6</f>
        <v>-93.230415384615412</v>
      </c>
      <c r="N6" s="29">
        <v>6.48</v>
      </c>
      <c r="O6" s="30">
        <f>(N6+I6)*0.75</f>
        <v>4.8975</v>
      </c>
      <c r="P6" s="33">
        <f>O6-F6</f>
        <v>-1.5825000000000005</v>
      </c>
    </row>
    <row r="7" spans="1:16" x14ac:dyDescent="0.2">
      <c r="A7" s="34" t="s">
        <v>22</v>
      </c>
      <c r="B7" s="20" t="s">
        <v>23</v>
      </c>
      <c r="C7" s="21">
        <v>44195</v>
      </c>
      <c r="D7" s="20">
        <v>45</v>
      </c>
      <c r="E7" s="22">
        <v>1.1637</v>
      </c>
      <c r="F7" s="23">
        <v>37.909999999999997</v>
      </c>
      <c r="G7" s="24">
        <f t="shared" si="0"/>
        <v>1465.9706109822118</v>
      </c>
      <c r="H7" s="25">
        <v>47.05</v>
      </c>
      <c r="I7" s="26">
        <f>[1]Dividend!P8</f>
        <v>1.17</v>
      </c>
      <c r="J7" s="22">
        <f>C146</f>
        <v>1.0763104079216446</v>
      </c>
      <c r="K7" s="24">
        <f t="shared" si="1"/>
        <v>2016.0540900000001</v>
      </c>
      <c r="L7" s="35">
        <f t="shared" si="2"/>
        <v>0.37523499782115549</v>
      </c>
      <c r="M7" s="28">
        <f t="shared" si="3"/>
        <v>550.08347901778825</v>
      </c>
      <c r="N7" s="29">
        <v>51.29</v>
      </c>
      <c r="O7" s="30">
        <f>(N7+I7)*0.75</f>
        <v>39.344999999999999</v>
      </c>
      <c r="P7" s="31">
        <f t="shared" si="4"/>
        <v>1.4350000000000023</v>
      </c>
    </row>
    <row r="8" spans="1:16" x14ac:dyDescent="0.2">
      <c r="A8" s="20" t="s">
        <v>24</v>
      </c>
      <c r="B8" s="20" t="s">
        <v>25</v>
      </c>
      <c r="C8" s="21">
        <v>44210</v>
      </c>
      <c r="D8" s="20">
        <v>200</v>
      </c>
      <c r="E8" s="22">
        <v>1.56</v>
      </c>
      <c r="F8" s="23">
        <v>2.52</v>
      </c>
      <c r="G8" s="24">
        <f t="shared" si="0"/>
        <v>323.07692307692304</v>
      </c>
      <c r="H8" s="25">
        <v>3.75</v>
      </c>
      <c r="I8" s="26">
        <f>[1]Dividend!P28</f>
        <v>1.4E-2</v>
      </c>
      <c r="J8" s="22">
        <f>C147</f>
        <v>1.4797277300976621</v>
      </c>
      <c r="K8" s="24">
        <f t="shared" si="1"/>
        <v>508.74223999999992</v>
      </c>
      <c r="L8" s="35">
        <f t="shared" si="2"/>
        <v>0.57467836190476185</v>
      </c>
      <c r="M8" s="28">
        <f t="shared" si="3"/>
        <v>185.66531692307689</v>
      </c>
      <c r="N8" s="29">
        <v>3.82</v>
      </c>
      <c r="O8" s="30">
        <f>(N8+I8)*0.66</f>
        <v>2.53044</v>
      </c>
      <c r="P8" s="31">
        <f t="shared" si="4"/>
        <v>1.0440000000000005E-2</v>
      </c>
    </row>
    <row r="9" spans="1:16" x14ac:dyDescent="0.2">
      <c r="A9" s="20" t="s">
        <v>26</v>
      </c>
      <c r="B9" s="20" t="s">
        <v>27</v>
      </c>
      <c r="C9" s="21">
        <v>44211</v>
      </c>
      <c r="D9" s="20">
        <v>100</v>
      </c>
      <c r="E9" s="22">
        <v>1.1109</v>
      </c>
      <c r="F9" s="23">
        <v>6.82</v>
      </c>
      <c r="G9" s="24">
        <f t="shared" si="0"/>
        <v>613.91664416239087</v>
      </c>
      <c r="H9" s="25">
        <v>6.71</v>
      </c>
      <c r="I9" s="26">
        <v>0</v>
      </c>
      <c r="J9" s="22">
        <f>C146</f>
        <v>1.0763104079216446</v>
      </c>
      <c r="K9" s="24">
        <f t="shared" si="1"/>
        <v>623.42610000000002</v>
      </c>
      <c r="L9" s="35">
        <f t="shared" si="2"/>
        <v>1.5489815967741946E-2</v>
      </c>
      <c r="M9" s="28">
        <f t="shared" si="3"/>
        <v>9.5094558376091527</v>
      </c>
      <c r="N9" s="29">
        <v>10.15</v>
      </c>
      <c r="O9" s="30">
        <f>(N9+I9)*0.66</f>
        <v>6.6990000000000007</v>
      </c>
      <c r="P9" s="33">
        <f t="shared" si="4"/>
        <v>-0.12099999999999955</v>
      </c>
    </row>
    <row r="10" spans="1:16" x14ac:dyDescent="0.2">
      <c r="A10" s="20" t="s">
        <v>28</v>
      </c>
      <c r="B10" s="20" t="s">
        <v>29</v>
      </c>
      <c r="C10" s="21">
        <v>44250</v>
      </c>
      <c r="D10" s="20">
        <v>200</v>
      </c>
      <c r="E10" s="22">
        <v>1.1871</v>
      </c>
      <c r="F10" s="23">
        <v>8.9</v>
      </c>
      <c r="G10" s="24">
        <f t="shared" si="0"/>
        <v>1499.4524471400891</v>
      </c>
      <c r="H10" s="25">
        <v>7.97</v>
      </c>
      <c r="I10" s="26">
        <v>0</v>
      </c>
      <c r="J10" s="22">
        <f>C146</f>
        <v>1.0763104079216446</v>
      </c>
      <c r="K10" s="24">
        <f t="shared" si="1"/>
        <v>1480.9854</v>
      </c>
      <c r="L10" s="27">
        <f t="shared" si="2"/>
        <v>-1.2315860483145945E-2</v>
      </c>
      <c r="M10" s="28">
        <f t="shared" si="3"/>
        <v>-18.467047140089107</v>
      </c>
      <c r="N10" s="29">
        <v>10.07</v>
      </c>
      <c r="O10" s="30">
        <f>(N10+I10)*0.75</f>
        <v>7.5525000000000002</v>
      </c>
      <c r="P10" s="33">
        <f t="shared" si="4"/>
        <v>-1.3475000000000001</v>
      </c>
    </row>
    <row r="11" spans="1:16" x14ac:dyDescent="0.2">
      <c r="A11" s="20" t="s">
        <v>30</v>
      </c>
      <c r="B11" s="20" t="s">
        <v>31</v>
      </c>
      <c r="C11" s="21">
        <v>44295</v>
      </c>
      <c r="D11" s="20">
        <v>200</v>
      </c>
      <c r="E11" s="22">
        <v>1.1847000000000001</v>
      </c>
      <c r="F11" s="23">
        <v>18.54</v>
      </c>
      <c r="G11" s="24">
        <f t="shared" si="0"/>
        <v>3129.9063053937703</v>
      </c>
      <c r="H11" s="25">
        <v>11.77</v>
      </c>
      <c r="I11" s="26">
        <v>0</v>
      </c>
      <c r="J11" s="22">
        <f>C146</f>
        <v>1.0763104079216446</v>
      </c>
      <c r="K11" s="24">
        <f t="shared" si="1"/>
        <v>2187.1014</v>
      </c>
      <c r="L11" s="27">
        <f t="shared" si="2"/>
        <v>-0.30122464169902907</v>
      </c>
      <c r="M11" s="28">
        <f t="shared" si="3"/>
        <v>-942.80490539377024</v>
      </c>
      <c r="N11" s="29">
        <v>20.2</v>
      </c>
      <c r="O11" s="30">
        <f>(N11+I11)*0.75</f>
        <v>15.149999999999999</v>
      </c>
      <c r="P11" s="33">
        <f t="shared" si="4"/>
        <v>-3.3900000000000006</v>
      </c>
    </row>
    <row r="12" spans="1:16" x14ac:dyDescent="0.2">
      <c r="A12" s="20" t="s">
        <v>32</v>
      </c>
      <c r="B12" s="20" t="s">
        <v>33</v>
      </c>
      <c r="C12" s="21">
        <v>44313</v>
      </c>
      <c r="D12" s="20">
        <v>3000</v>
      </c>
      <c r="E12" s="22">
        <v>1.4043000000000001</v>
      </c>
      <c r="F12" s="23">
        <v>0.25169999999999998</v>
      </c>
      <c r="G12" s="24">
        <f t="shared" si="0"/>
        <v>537.70561845759448</v>
      </c>
      <c r="H12" s="25">
        <v>0.3</v>
      </c>
      <c r="I12" s="26">
        <v>0</v>
      </c>
      <c r="J12" s="22">
        <f>C147</f>
        <v>1.4797277300976621</v>
      </c>
      <c r="K12" s="24">
        <f t="shared" si="1"/>
        <v>608.21999999999991</v>
      </c>
      <c r="L12" s="35">
        <f t="shared" si="2"/>
        <v>0.13113938021454105</v>
      </c>
      <c r="M12" s="28">
        <f t="shared" si="3"/>
        <v>70.514381542405431</v>
      </c>
      <c r="N12" s="29">
        <v>0.44</v>
      </c>
      <c r="O12" s="30">
        <f>(N12+I12)*0.5</f>
        <v>0.22</v>
      </c>
      <c r="P12" s="33">
        <f t="shared" si="4"/>
        <v>-3.1699999999999978E-2</v>
      </c>
    </row>
    <row r="13" spans="1:16" x14ac:dyDescent="0.2">
      <c r="A13" s="20" t="s">
        <v>34</v>
      </c>
      <c r="B13" s="20" t="s">
        <v>35</v>
      </c>
      <c r="C13" s="21">
        <v>44341</v>
      </c>
      <c r="D13" s="20">
        <v>300</v>
      </c>
      <c r="E13" s="22">
        <v>1.1656</v>
      </c>
      <c r="F13" s="23">
        <v>4.16</v>
      </c>
      <c r="G13" s="24">
        <f t="shared" si="0"/>
        <v>1070.6932052161976</v>
      </c>
      <c r="H13" s="25">
        <v>2.17</v>
      </c>
      <c r="I13" s="26">
        <f>[1]Dividend!P45</f>
        <v>0.04</v>
      </c>
      <c r="J13" s="22">
        <f>C146</f>
        <v>1.0763104079216446</v>
      </c>
      <c r="K13" s="24">
        <f>((H13+I13)/J13)*D13+349</f>
        <v>964.99329999999998</v>
      </c>
      <c r="L13" s="27">
        <f t="shared" si="2"/>
        <v>-9.872100121794869E-2</v>
      </c>
      <c r="M13" s="28">
        <f t="shared" si="3"/>
        <v>-105.69990521619764</v>
      </c>
      <c r="N13" s="29">
        <v>5.0999999999999996</v>
      </c>
      <c r="O13" s="30">
        <f t="shared" ref="O13:O22" si="5">(N13+I13)*0.66</f>
        <v>3.3923999999999999</v>
      </c>
      <c r="P13" s="33">
        <f t="shared" si="4"/>
        <v>-0.76760000000000028</v>
      </c>
    </row>
    <row r="14" spans="1:16" x14ac:dyDescent="0.2">
      <c r="A14" s="32" t="s">
        <v>36</v>
      </c>
      <c r="B14" s="20" t="s">
        <v>35</v>
      </c>
      <c r="C14" s="21">
        <v>44840</v>
      </c>
      <c r="D14" s="20">
        <v>100</v>
      </c>
      <c r="E14" s="22">
        <v>0.98080000000000001</v>
      </c>
      <c r="F14" s="23">
        <v>2.4</v>
      </c>
      <c r="G14" s="24">
        <f t="shared" si="0"/>
        <v>244.69820554649266</v>
      </c>
      <c r="H14" s="25">
        <f>'[1]auto data'!J9</f>
        <v>2.17</v>
      </c>
      <c r="I14" s="26">
        <v>0</v>
      </c>
      <c r="J14" s="22">
        <f>C146</f>
        <v>1.0763104079216446</v>
      </c>
      <c r="K14" s="24">
        <f>((H14+I14)/J14)*D14</f>
        <v>201.61470000000003</v>
      </c>
      <c r="L14" s="27">
        <f>(K14-G14)/G14</f>
        <v>-0.17606792599999987</v>
      </c>
      <c r="M14" s="28">
        <f>K14-G14</f>
        <v>-43.083505546492631</v>
      </c>
      <c r="N14" s="29">
        <v>2.4300000000000002</v>
      </c>
      <c r="O14" s="30">
        <f>(N14+I14)*0.66</f>
        <v>1.6038000000000001</v>
      </c>
      <c r="P14" s="33">
        <f>O14-F14</f>
        <v>-0.7961999999999998</v>
      </c>
    </row>
    <row r="15" spans="1:16" x14ac:dyDescent="0.2">
      <c r="A15" s="34" t="s">
        <v>37</v>
      </c>
      <c r="B15" s="20" t="s">
        <v>38</v>
      </c>
      <c r="C15" s="21">
        <v>44368</v>
      </c>
      <c r="D15" s="20">
        <v>300</v>
      </c>
      <c r="E15" s="22">
        <v>1.1375</v>
      </c>
      <c r="F15" s="23">
        <v>7.49</v>
      </c>
      <c r="G15" s="24">
        <f t="shared" si="0"/>
        <v>1975.3846153846155</v>
      </c>
      <c r="H15" s="25">
        <v>5.15</v>
      </c>
      <c r="I15" s="26">
        <v>0</v>
      </c>
      <c r="J15" s="22">
        <f>C146</f>
        <v>1.0763104079216446</v>
      </c>
      <c r="K15" s="24">
        <f t="shared" si="1"/>
        <v>1435.4595000000002</v>
      </c>
      <c r="L15" s="27">
        <f t="shared" si="2"/>
        <v>-0.27332657710280367</v>
      </c>
      <c r="M15" s="28">
        <f t="shared" si="3"/>
        <v>-539.92511538461531</v>
      </c>
      <c r="N15" s="29">
        <v>7.49</v>
      </c>
      <c r="O15" s="30">
        <f t="shared" si="5"/>
        <v>4.9434000000000005</v>
      </c>
      <c r="P15" s="33">
        <f t="shared" si="4"/>
        <v>-2.5465999999999998</v>
      </c>
    </row>
    <row r="16" spans="1:16" x14ac:dyDescent="0.2">
      <c r="A16" s="32" t="s">
        <v>39</v>
      </c>
      <c r="B16" s="20" t="s">
        <v>38</v>
      </c>
      <c r="C16" s="21">
        <v>44726</v>
      </c>
      <c r="D16" s="20">
        <v>100</v>
      </c>
      <c r="E16" s="22">
        <v>1.0409999999999999</v>
      </c>
      <c r="F16" s="23">
        <v>5.15</v>
      </c>
      <c r="G16" s="24">
        <f t="shared" si="0"/>
        <v>494.71661863592703</v>
      </c>
      <c r="H16" s="25">
        <f>'[1]auto data'!J10</f>
        <v>5.15</v>
      </c>
      <c r="I16" s="26">
        <v>0</v>
      </c>
      <c r="J16" s="22">
        <f>C146</f>
        <v>1.0763104079216446</v>
      </c>
      <c r="K16" s="24">
        <f>((H16+I16)/J16)*D16</f>
        <v>478.48650000000009</v>
      </c>
      <c r="L16" s="27">
        <f>(K16-G16)/G16</f>
        <v>-3.2806899999999896E-2</v>
      </c>
      <c r="M16" s="28">
        <f>K16-G16</f>
        <v>-16.230118635926942</v>
      </c>
      <c r="N16" s="29">
        <v>5.16</v>
      </c>
      <c r="O16" s="30">
        <f>(N16+I16)*0.66</f>
        <v>3.4056000000000002</v>
      </c>
      <c r="P16" s="33">
        <f>O16-F16</f>
        <v>-1.7444000000000002</v>
      </c>
    </row>
    <row r="17" spans="1:16" x14ac:dyDescent="0.2">
      <c r="A17" s="20" t="s">
        <v>40</v>
      </c>
      <c r="B17" s="20" t="s">
        <v>41</v>
      </c>
      <c r="C17" s="21">
        <v>44388</v>
      </c>
      <c r="D17" s="20">
        <v>100</v>
      </c>
      <c r="E17" s="22">
        <v>1.18</v>
      </c>
      <c r="F17" s="23">
        <v>5.29</v>
      </c>
      <c r="G17" s="24">
        <f t="shared" si="0"/>
        <v>448.30508474576271</v>
      </c>
      <c r="H17" s="25">
        <v>3.46</v>
      </c>
      <c r="I17" s="26">
        <v>0</v>
      </c>
      <c r="J17" s="22">
        <f>C146</f>
        <v>1.0763104079216446</v>
      </c>
      <c r="K17" s="24">
        <f t="shared" si="1"/>
        <v>321.46859999999998</v>
      </c>
      <c r="L17" s="27">
        <f t="shared" si="2"/>
        <v>-0.28292448393194713</v>
      </c>
      <c r="M17" s="28">
        <f t="shared" si="3"/>
        <v>-126.83648474576273</v>
      </c>
      <c r="N17" s="29">
        <v>5.58</v>
      </c>
      <c r="O17" s="30">
        <f t="shared" si="5"/>
        <v>3.6828000000000003</v>
      </c>
      <c r="P17" s="33">
        <f t="shared" si="4"/>
        <v>-1.6071999999999997</v>
      </c>
    </row>
    <row r="18" spans="1:16" x14ac:dyDescent="0.2">
      <c r="A18" s="20" t="s">
        <v>42</v>
      </c>
      <c r="B18" s="20" t="s">
        <v>43</v>
      </c>
      <c r="C18" s="21">
        <v>44433</v>
      </c>
      <c r="D18" s="20">
        <v>300</v>
      </c>
      <c r="E18" s="22">
        <v>1.4830000000000001</v>
      </c>
      <c r="F18" s="23">
        <v>1.27</v>
      </c>
      <c r="G18" s="24">
        <f t="shared" si="0"/>
        <v>256.91166554281858</v>
      </c>
      <c r="H18" s="36">
        <v>1.1200000000000001</v>
      </c>
      <c r="I18" s="26">
        <f>[1]Dividend!P14</f>
        <v>0.122</v>
      </c>
      <c r="J18" s="22">
        <f>C147</f>
        <v>1.4797277300976621</v>
      </c>
      <c r="K18" s="24">
        <f t="shared" si="1"/>
        <v>251.80307999999999</v>
      </c>
      <c r="L18" s="27">
        <f t="shared" si="2"/>
        <v>-1.9884599370078655E-2</v>
      </c>
      <c r="M18" s="28">
        <f t="shared" si="3"/>
        <v>-5.108585542818588</v>
      </c>
      <c r="N18" s="29">
        <v>1.5</v>
      </c>
      <c r="O18" s="30">
        <f t="shared" si="5"/>
        <v>1.0705199999999999</v>
      </c>
      <c r="P18" s="33">
        <f t="shared" si="4"/>
        <v>-0.1994800000000001</v>
      </c>
    </row>
    <row r="19" spans="1:16" x14ac:dyDescent="0.2">
      <c r="A19" s="20" t="s">
        <v>44</v>
      </c>
      <c r="B19" s="20" t="s">
        <v>45</v>
      </c>
      <c r="C19" s="21">
        <v>44517</v>
      </c>
      <c r="D19" s="20">
        <v>40</v>
      </c>
      <c r="E19" s="22">
        <v>1.1301000000000001</v>
      </c>
      <c r="F19" s="23">
        <v>12.82</v>
      </c>
      <c r="G19" s="24">
        <f t="shared" si="0"/>
        <v>453.76515352623653</v>
      </c>
      <c r="H19" s="36">
        <v>8.1999999999999993</v>
      </c>
      <c r="I19" s="26">
        <f>[1]Dividend!P16</f>
        <v>0.75</v>
      </c>
      <c r="J19" s="22">
        <f>C146</f>
        <v>1.0763104079216446</v>
      </c>
      <c r="K19" s="24">
        <f t="shared" si="1"/>
        <v>332.61779999999999</v>
      </c>
      <c r="L19" s="27">
        <f t="shared" si="2"/>
        <v>-0.26698249652886102</v>
      </c>
      <c r="M19" s="28">
        <f t="shared" si="3"/>
        <v>-121.14735352623654</v>
      </c>
      <c r="N19" s="29">
        <v>20.11</v>
      </c>
      <c r="O19" s="30">
        <f>(N19+I19)*0.66</f>
        <v>13.7676</v>
      </c>
      <c r="P19" s="31">
        <f t="shared" si="4"/>
        <v>0.94759999999999955</v>
      </c>
    </row>
    <row r="20" spans="1:16" x14ac:dyDescent="0.2">
      <c r="A20" s="32" t="s">
        <v>46</v>
      </c>
      <c r="B20" s="20" t="s">
        <v>45</v>
      </c>
      <c r="C20" s="21">
        <v>44658</v>
      </c>
      <c r="D20" s="20">
        <v>60</v>
      </c>
      <c r="E20" s="22">
        <v>1.0878000000000001</v>
      </c>
      <c r="F20" s="23">
        <v>15.22</v>
      </c>
      <c r="G20" s="24">
        <f t="shared" si="0"/>
        <v>839.49255377826807</v>
      </c>
      <c r="H20" s="36">
        <f>'[1]auto data'!J13</f>
        <v>8.1999999999999993</v>
      </c>
      <c r="I20" s="26">
        <f>I19</f>
        <v>0.75</v>
      </c>
      <c r="J20" s="22">
        <f>C146</f>
        <v>1.0763104079216446</v>
      </c>
      <c r="K20" s="24">
        <f t="shared" si="1"/>
        <v>498.92670000000004</v>
      </c>
      <c r="L20" s="27">
        <f t="shared" si="2"/>
        <v>-0.40568061294349539</v>
      </c>
      <c r="M20" s="28">
        <f t="shared" si="3"/>
        <v>-340.56585377826804</v>
      </c>
      <c r="N20" s="29">
        <v>15.22</v>
      </c>
      <c r="O20" s="30">
        <f>(N20+I20)*0.66</f>
        <v>10.5402</v>
      </c>
      <c r="P20" s="33">
        <f t="shared" si="4"/>
        <v>-4.6798000000000002</v>
      </c>
    </row>
    <row r="21" spans="1:16" x14ac:dyDescent="0.2">
      <c r="A21" s="32" t="s">
        <v>47</v>
      </c>
      <c r="B21" s="20" t="s">
        <v>45</v>
      </c>
      <c r="C21" s="21">
        <v>44690</v>
      </c>
      <c r="D21" s="20">
        <v>50</v>
      </c>
      <c r="E21" s="22">
        <v>1.0529999999999999</v>
      </c>
      <c r="F21" s="23">
        <v>11.875</v>
      </c>
      <c r="G21" s="24">
        <f t="shared" si="0"/>
        <v>563.8651471984806</v>
      </c>
      <c r="H21" s="36">
        <f>'[1]auto data'!J13</f>
        <v>8.1999999999999993</v>
      </c>
      <c r="I21" s="26">
        <f>I19</f>
        <v>0.75</v>
      </c>
      <c r="J21" s="22">
        <f>C146</f>
        <v>1.0763104079216446</v>
      </c>
      <c r="K21" s="24">
        <f t="shared" si="1"/>
        <v>415.77225000000004</v>
      </c>
      <c r="L21" s="27">
        <f t="shared" si="2"/>
        <v>-0.26263885600000003</v>
      </c>
      <c r="M21" s="28">
        <f t="shared" si="3"/>
        <v>-148.09289719848056</v>
      </c>
      <c r="N21" s="29">
        <v>11.78</v>
      </c>
      <c r="O21" s="30">
        <f>(N21+I21)*0.66</f>
        <v>8.2698</v>
      </c>
      <c r="P21" s="33">
        <f t="shared" si="4"/>
        <v>-3.6052</v>
      </c>
    </row>
    <row r="22" spans="1:16" x14ac:dyDescent="0.2">
      <c r="A22" s="20" t="s">
        <v>48</v>
      </c>
      <c r="B22" s="20" t="s">
        <v>49</v>
      </c>
      <c r="C22" s="21">
        <v>44589</v>
      </c>
      <c r="D22" s="20">
        <v>50</v>
      </c>
      <c r="E22" s="22">
        <v>1.1152</v>
      </c>
      <c r="F22" s="23">
        <v>9.56</v>
      </c>
      <c r="G22" s="24">
        <f t="shared" si="0"/>
        <v>428.62266857962697</v>
      </c>
      <c r="H22" s="36">
        <v>6.55</v>
      </c>
      <c r="I22" s="26">
        <v>0</v>
      </c>
      <c r="J22" s="22">
        <f>C146</f>
        <v>1.0763104079216446</v>
      </c>
      <c r="K22" s="24">
        <f t="shared" si="1"/>
        <v>304.28025000000002</v>
      </c>
      <c r="L22" s="27">
        <f t="shared" si="2"/>
        <v>-0.29009762594142252</v>
      </c>
      <c r="M22" s="28">
        <f t="shared" si="3"/>
        <v>-124.34241857962695</v>
      </c>
      <c r="N22" s="29">
        <v>14.24</v>
      </c>
      <c r="O22" s="30">
        <f t="shared" si="5"/>
        <v>9.3984000000000005</v>
      </c>
      <c r="P22" s="33">
        <f t="shared" si="4"/>
        <v>-0.16159999999999997</v>
      </c>
    </row>
    <row r="23" spans="1:16" x14ac:dyDescent="0.2">
      <c r="A23" s="20" t="s">
        <v>50</v>
      </c>
      <c r="B23" s="20" t="s">
        <v>51</v>
      </c>
      <c r="C23" s="21">
        <v>44795</v>
      </c>
      <c r="D23" s="20">
        <v>250</v>
      </c>
      <c r="E23" s="22">
        <v>0.99460000000000004</v>
      </c>
      <c r="F23" s="23">
        <v>1.9</v>
      </c>
      <c r="G23" s="24">
        <f t="shared" si="0"/>
        <v>477.578926201488</v>
      </c>
      <c r="H23" s="36">
        <v>1.9498</v>
      </c>
      <c r="I23" s="26">
        <v>0</v>
      </c>
      <c r="J23" s="22">
        <f>C146</f>
        <v>1.0763104079216446</v>
      </c>
      <c r="K23" s="24">
        <f t="shared" si="1"/>
        <v>452.88979499999999</v>
      </c>
      <c r="L23" s="27">
        <f t="shared" si="2"/>
        <v>-5.1696441879999951E-2</v>
      </c>
      <c r="M23" s="28">
        <f t="shared" si="3"/>
        <v>-24.68913120148801</v>
      </c>
      <c r="N23" s="29">
        <v>1.9</v>
      </c>
      <c r="O23" s="30">
        <f>(N23+I23)*0.66</f>
        <v>1.254</v>
      </c>
      <c r="P23" s="33">
        <f t="shared" si="4"/>
        <v>-0.64599999999999991</v>
      </c>
    </row>
    <row r="24" spans="1:16" x14ac:dyDescent="0.2">
      <c r="A24" s="20" t="s">
        <v>52</v>
      </c>
      <c r="B24" s="20" t="s">
        <v>53</v>
      </c>
      <c r="C24" s="21">
        <v>44971</v>
      </c>
      <c r="D24" s="20">
        <v>300</v>
      </c>
      <c r="E24" s="22">
        <v>1.4255</v>
      </c>
      <c r="F24" s="23">
        <v>1.36</v>
      </c>
      <c r="G24" s="24">
        <f t="shared" si="0"/>
        <v>286.21536303051568</v>
      </c>
      <c r="H24" s="36">
        <f>'[1]auto data'!J16</f>
        <v>1.31</v>
      </c>
      <c r="I24" s="26">
        <v>0</v>
      </c>
      <c r="J24" s="22">
        <f>C147</f>
        <v>1.4797277300976621</v>
      </c>
      <c r="K24" s="24">
        <f t="shared" si="1"/>
        <v>265.58940000000001</v>
      </c>
      <c r="L24" s="27">
        <f t="shared" si="2"/>
        <v>-7.2064486029411942E-2</v>
      </c>
      <c r="M24" s="28">
        <f t="shared" si="3"/>
        <v>-20.625963030515663</v>
      </c>
      <c r="N24" s="29">
        <v>1.36</v>
      </c>
      <c r="O24" s="30">
        <f>(N24+I24)*0.66</f>
        <v>0.89760000000000006</v>
      </c>
      <c r="P24" s="33">
        <f t="shared" si="4"/>
        <v>-0.46240000000000003</v>
      </c>
    </row>
    <row r="25" spans="1:16" x14ac:dyDescent="0.2">
      <c r="A25" s="2" t="s">
        <v>54</v>
      </c>
      <c r="B25" s="3"/>
      <c r="C25" s="3"/>
      <c r="D25" s="3"/>
      <c r="E25" s="3"/>
      <c r="F25" s="4"/>
      <c r="G25" s="5"/>
      <c r="H25" s="6"/>
      <c r="I25" s="6"/>
      <c r="J25" s="6"/>
      <c r="K25" s="7"/>
      <c r="L25" s="8" t="s">
        <v>1</v>
      </c>
      <c r="M25" s="9">
        <f>SUM(K27:K45)</f>
        <v>4716.9717439999995</v>
      </c>
      <c r="N25" s="10"/>
      <c r="O25" s="11"/>
      <c r="P25" s="12">
        <f>M25/P152</f>
        <v>8.895183484963147E-2</v>
      </c>
    </row>
    <row r="26" spans="1:16" x14ac:dyDescent="0.2">
      <c r="A26" s="13" t="s">
        <v>2</v>
      </c>
      <c r="B26" s="13" t="s">
        <v>3</v>
      </c>
      <c r="C26" s="14" t="s">
        <v>4</v>
      </c>
      <c r="D26" s="13" t="s">
        <v>5</v>
      </c>
      <c r="E26" s="15" t="s">
        <v>6</v>
      </c>
      <c r="F26" s="13" t="s">
        <v>7</v>
      </c>
      <c r="G26" s="13" t="s">
        <v>8</v>
      </c>
      <c r="H26" s="16" t="s">
        <v>9</v>
      </c>
      <c r="I26" s="13" t="s">
        <v>10</v>
      </c>
      <c r="J26" s="15" t="s">
        <v>11</v>
      </c>
      <c r="K26" s="13" t="s">
        <v>12</v>
      </c>
      <c r="L26" s="13" t="s">
        <v>13</v>
      </c>
      <c r="M26" s="17" t="s">
        <v>14</v>
      </c>
      <c r="N26" s="18" t="s">
        <v>15</v>
      </c>
      <c r="O26" s="19" t="s">
        <v>16</v>
      </c>
      <c r="P26" s="17" t="s">
        <v>17</v>
      </c>
    </row>
    <row r="27" spans="1:16" x14ac:dyDescent="0.2">
      <c r="A27" s="34" t="s">
        <v>55</v>
      </c>
      <c r="B27" s="20" t="s">
        <v>56</v>
      </c>
      <c r="C27" s="21">
        <v>44054</v>
      </c>
      <c r="D27" s="20">
        <v>400</v>
      </c>
      <c r="E27" s="22">
        <v>1.49</v>
      </c>
      <c r="F27" s="23">
        <v>2.355</v>
      </c>
      <c r="G27" s="24">
        <f t="shared" ref="G27:G33" si="6">(F27*D27)/E27</f>
        <v>632.21476510067112</v>
      </c>
      <c r="H27" s="25">
        <v>1.1599999999999999</v>
      </c>
      <c r="I27" s="20">
        <v>0</v>
      </c>
      <c r="J27" s="22">
        <f>C147</f>
        <v>1.4797277300976621</v>
      </c>
      <c r="K27" s="24">
        <f>((H27+I27)/J27)*D27</f>
        <v>313.57119999999992</v>
      </c>
      <c r="L27" s="27">
        <f t="shared" ref="L27:L33" si="7">(K27-G27)/G27</f>
        <v>-0.50401158386411904</v>
      </c>
      <c r="M27" s="28">
        <f t="shared" ref="M27:M45" si="8">K27-G27</f>
        <v>-318.6435651006712</v>
      </c>
      <c r="N27" s="29">
        <v>3.65</v>
      </c>
      <c r="O27" s="30">
        <f>(N27+I27)*0.5</f>
        <v>1.825</v>
      </c>
      <c r="P27" s="33">
        <f t="shared" ref="P27:P33" si="9">O27-F27</f>
        <v>-0.53</v>
      </c>
    </row>
    <row r="28" spans="1:16" x14ac:dyDescent="0.2">
      <c r="A28" s="34" t="s">
        <v>57</v>
      </c>
      <c r="B28" s="20" t="s">
        <v>58</v>
      </c>
      <c r="C28" s="21">
        <v>44096</v>
      </c>
      <c r="D28" s="20">
        <v>1500</v>
      </c>
      <c r="E28" s="22">
        <v>1.49</v>
      </c>
      <c r="F28" s="23">
        <v>0.28000000000000003</v>
      </c>
      <c r="G28" s="24">
        <f t="shared" si="6"/>
        <v>281.87919463087252</v>
      </c>
      <c r="H28" s="25">
        <v>0.105</v>
      </c>
      <c r="I28" s="20">
        <v>0</v>
      </c>
      <c r="J28" s="22">
        <f>C147</f>
        <v>1.4797277300976621</v>
      </c>
      <c r="K28" s="24">
        <f>((H28+I28)/J28)*D28</f>
        <v>106.43849999999999</v>
      </c>
      <c r="L28" s="27">
        <f t="shared" si="7"/>
        <v>-0.62239675000000017</v>
      </c>
      <c r="M28" s="28">
        <f t="shared" si="8"/>
        <v>-175.44069463087254</v>
      </c>
      <c r="N28" s="29">
        <v>0.7</v>
      </c>
      <c r="O28" s="30">
        <f>(N28+I28)*0.5</f>
        <v>0.35</v>
      </c>
      <c r="P28" s="33">
        <f t="shared" si="9"/>
        <v>6.9999999999999951E-2</v>
      </c>
    </row>
    <row r="29" spans="1:16" x14ac:dyDescent="0.2">
      <c r="A29" s="20" t="s">
        <v>59</v>
      </c>
      <c r="B29" s="20" t="s">
        <v>60</v>
      </c>
      <c r="C29" s="21">
        <v>44159</v>
      </c>
      <c r="D29" s="20">
        <v>300</v>
      </c>
      <c r="E29" s="22">
        <v>1.55</v>
      </c>
      <c r="F29" s="23">
        <v>1.19</v>
      </c>
      <c r="G29" s="24">
        <f t="shared" si="6"/>
        <v>230.32258064516128</v>
      </c>
      <c r="H29" s="25">
        <v>0.25</v>
      </c>
      <c r="I29" s="20">
        <v>0</v>
      </c>
      <c r="J29" s="22">
        <f>C147</f>
        <v>1.4797277300976621</v>
      </c>
      <c r="K29" s="24">
        <f>((H29+I29)/J29)*D29</f>
        <v>50.684999999999995</v>
      </c>
      <c r="L29" s="27">
        <f t="shared" si="7"/>
        <v>-0.77993907563025211</v>
      </c>
      <c r="M29" s="28">
        <f t="shared" si="8"/>
        <v>-179.63758064516128</v>
      </c>
      <c r="N29" s="29">
        <v>1.25</v>
      </c>
      <c r="O29" s="30">
        <f>(N29+I29)*0.5</f>
        <v>0.625</v>
      </c>
      <c r="P29" s="33">
        <f t="shared" si="9"/>
        <v>-0.56499999999999995</v>
      </c>
    </row>
    <row r="30" spans="1:16" x14ac:dyDescent="0.2">
      <c r="A30" s="34" t="s">
        <v>61</v>
      </c>
      <c r="B30" s="20" t="s">
        <v>62</v>
      </c>
      <c r="C30" s="21">
        <v>44203</v>
      </c>
      <c r="D30" s="20">
        <v>2000</v>
      </c>
      <c r="E30" s="22">
        <v>1.4155</v>
      </c>
      <c r="F30" s="23">
        <v>0.57399999999999995</v>
      </c>
      <c r="G30" s="24">
        <f t="shared" si="6"/>
        <v>811.0208406923349</v>
      </c>
      <c r="H30" s="25">
        <v>0.26500000000000001</v>
      </c>
      <c r="I30" s="20">
        <v>0</v>
      </c>
      <c r="J30" s="22">
        <f>C147</f>
        <v>1.4797277300976621</v>
      </c>
      <c r="K30" s="24">
        <f>((H30+I30)/J30)*D30</f>
        <v>358.17399999999998</v>
      </c>
      <c r="L30" s="27">
        <f t="shared" si="7"/>
        <v>-0.55836646602787465</v>
      </c>
      <c r="M30" s="28">
        <f t="shared" si="8"/>
        <v>-452.84684069233492</v>
      </c>
      <c r="N30" s="29">
        <v>0.62</v>
      </c>
      <c r="O30" s="30">
        <f>(N30+I30)*0.5</f>
        <v>0.31</v>
      </c>
      <c r="P30" s="33">
        <f t="shared" si="9"/>
        <v>-0.26399999999999996</v>
      </c>
    </row>
    <row r="31" spans="1:16" x14ac:dyDescent="0.2">
      <c r="A31" s="20" t="s">
        <v>63</v>
      </c>
      <c r="B31" s="20" t="s">
        <v>64</v>
      </c>
      <c r="C31" s="21">
        <v>43837</v>
      </c>
      <c r="D31" s="20">
        <v>720</v>
      </c>
      <c r="E31" s="22">
        <v>1.45</v>
      </c>
      <c r="F31" s="23">
        <v>0.81</v>
      </c>
      <c r="G31" s="24">
        <f t="shared" si="6"/>
        <v>402.20689655172418</v>
      </c>
      <c r="H31" s="25">
        <v>0.66</v>
      </c>
      <c r="I31" s="20">
        <v>0</v>
      </c>
      <c r="J31" s="22">
        <f>C147</f>
        <v>1.4797277300976621</v>
      </c>
      <c r="K31" s="24">
        <f>((H31+I31)/J31)*D31</f>
        <v>321.14015999999998</v>
      </c>
      <c r="L31" s="27">
        <f t="shared" si="7"/>
        <v>-0.20155481481481496</v>
      </c>
      <c r="M31" s="28">
        <f t="shared" si="8"/>
        <v>-81.066736551724205</v>
      </c>
      <c r="N31" s="29">
        <v>1.55</v>
      </c>
      <c r="O31" s="30">
        <f>(N31+I31)*0.33</f>
        <v>0.51150000000000007</v>
      </c>
      <c r="P31" s="33">
        <f t="shared" si="9"/>
        <v>-0.29849999999999999</v>
      </c>
    </row>
    <row r="32" spans="1:16" x14ac:dyDescent="0.2">
      <c r="A32" s="34" t="s">
        <v>65</v>
      </c>
      <c r="B32" s="20" t="s">
        <v>66</v>
      </c>
      <c r="C32" s="21">
        <v>44246</v>
      </c>
      <c r="D32" s="20">
        <v>2000</v>
      </c>
      <c r="E32" s="22">
        <v>1.47</v>
      </c>
      <c r="F32" s="23">
        <v>0.497</v>
      </c>
      <c r="G32" s="24">
        <f t="shared" si="6"/>
        <v>676.19047619047615</v>
      </c>
      <c r="H32" s="25">
        <v>0.28999999999999998</v>
      </c>
      <c r="I32" s="37">
        <v>0</v>
      </c>
      <c r="J32" s="22">
        <f>C147</f>
        <v>1.4797277300976621</v>
      </c>
      <c r="K32" s="24">
        <f>((H33+I32)/J32)*D32</f>
        <v>243.28799999999998</v>
      </c>
      <c r="L32" s="27">
        <f t="shared" si="7"/>
        <v>-0.64020788732394363</v>
      </c>
      <c r="M32" s="28">
        <f t="shared" si="8"/>
        <v>-432.90247619047614</v>
      </c>
      <c r="N32" s="29">
        <v>0.51</v>
      </c>
      <c r="O32" s="30">
        <f>(N32+I32)*0.66</f>
        <v>0.33660000000000001</v>
      </c>
      <c r="P32" s="33">
        <f t="shared" si="9"/>
        <v>-0.16039999999999999</v>
      </c>
    </row>
    <row r="33" spans="1:16" x14ac:dyDescent="0.2">
      <c r="A33" s="34" t="s">
        <v>67</v>
      </c>
      <c r="B33" s="20" t="s">
        <v>68</v>
      </c>
      <c r="C33" s="21">
        <v>44376</v>
      </c>
      <c r="D33" s="20">
        <v>2000</v>
      </c>
      <c r="E33" s="22">
        <v>1.46</v>
      </c>
      <c r="F33" s="23">
        <v>0.375</v>
      </c>
      <c r="G33" s="24">
        <f t="shared" si="6"/>
        <v>513.69863013698637</v>
      </c>
      <c r="H33" s="25">
        <v>0.18</v>
      </c>
      <c r="I33" s="37">
        <v>0</v>
      </c>
      <c r="J33" s="22">
        <f>C147</f>
        <v>1.4797277300976621</v>
      </c>
      <c r="K33" s="24">
        <f>((H33+I33)/J33)*D33</f>
        <v>243.28799999999998</v>
      </c>
      <c r="L33" s="27">
        <f t="shared" si="7"/>
        <v>-0.52639936000000009</v>
      </c>
      <c r="M33" s="28">
        <f t="shared" si="8"/>
        <v>-270.41063013698636</v>
      </c>
      <c r="N33" s="29">
        <v>0.44</v>
      </c>
      <c r="O33" s="30">
        <f t="shared" ref="O33:O45" si="10">(N33+I33)*0.5</f>
        <v>0.22</v>
      </c>
      <c r="P33" s="33">
        <f t="shared" si="9"/>
        <v>-0.155</v>
      </c>
    </row>
    <row r="34" spans="1:16" x14ac:dyDescent="0.2">
      <c r="A34" s="20" t="s">
        <v>69</v>
      </c>
      <c r="B34" s="20" t="s">
        <v>70</v>
      </c>
      <c r="C34" s="21">
        <v>44396</v>
      </c>
      <c r="D34" s="20">
        <v>66</v>
      </c>
      <c r="E34" s="22">
        <v>1.5044</v>
      </c>
      <c r="F34" s="23">
        <v>0.72899999999999998</v>
      </c>
      <c r="G34" s="24">
        <v>0</v>
      </c>
      <c r="H34" s="25">
        <v>0.33</v>
      </c>
      <c r="I34" s="37">
        <v>0</v>
      </c>
      <c r="J34" s="22">
        <f>C147</f>
        <v>1.4797277300976621</v>
      </c>
      <c r="K34" s="24">
        <f>((H34+I34)/J34)*D34</f>
        <v>14.718923999999999</v>
      </c>
      <c r="L34" s="38" t="s">
        <v>71</v>
      </c>
      <c r="M34" s="28">
        <f t="shared" si="8"/>
        <v>14.718923999999999</v>
      </c>
      <c r="N34" s="29"/>
      <c r="O34" s="30"/>
      <c r="P34" s="33"/>
    </row>
    <row r="35" spans="1:16" x14ac:dyDescent="0.2">
      <c r="A35" s="20" t="s">
        <v>72</v>
      </c>
      <c r="B35" s="20" t="s">
        <v>73</v>
      </c>
      <c r="C35" s="21">
        <v>44438</v>
      </c>
      <c r="D35" s="20">
        <v>5000</v>
      </c>
      <c r="E35" s="22">
        <v>1.4879</v>
      </c>
      <c r="F35" s="39">
        <v>6.5000000000000002E-2</v>
      </c>
      <c r="G35" s="24">
        <f t="shared" ref="G35:G45" si="11">(F35*D35)/E35</f>
        <v>218.4286578399086</v>
      </c>
      <c r="H35" s="25">
        <v>0.02</v>
      </c>
      <c r="I35" s="37">
        <v>0</v>
      </c>
      <c r="J35" s="22">
        <f>C147</f>
        <v>1.4797277300976621</v>
      </c>
      <c r="K35" s="24">
        <f t="shared" ref="K35:K42" si="12">((H35+I35)/J35)*D35</f>
        <v>67.58</v>
      </c>
      <c r="L35" s="27">
        <f t="shared" ref="L35:L42" si="13">(K35-G35)/G35</f>
        <v>-0.69060836307692297</v>
      </c>
      <c r="M35" s="28">
        <f t="shared" si="8"/>
        <v>-150.84865783990858</v>
      </c>
      <c r="N35" s="29">
        <v>6.5000000000000002E-2</v>
      </c>
      <c r="O35" s="30">
        <f t="shared" si="10"/>
        <v>3.2500000000000001E-2</v>
      </c>
      <c r="P35" s="33">
        <f t="shared" ref="P35:P42" si="14">O35-F35</f>
        <v>-3.2500000000000001E-2</v>
      </c>
    </row>
    <row r="36" spans="1:16" x14ac:dyDescent="0.2">
      <c r="A36" s="34" t="s">
        <v>74</v>
      </c>
      <c r="B36" s="20" t="s">
        <v>75</v>
      </c>
      <c r="C36" s="21">
        <v>44498</v>
      </c>
      <c r="D36" s="20">
        <v>600</v>
      </c>
      <c r="E36" s="22">
        <v>1.43</v>
      </c>
      <c r="F36" s="39">
        <v>1.34</v>
      </c>
      <c r="G36" s="24">
        <f t="shared" si="11"/>
        <v>562.23776223776224</v>
      </c>
      <c r="H36" s="25">
        <v>0.36499999999999999</v>
      </c>
      <c r="I36" s="37">
        <v>0</v>
      </c>
      <c r="J36" s="22">
        <f>C147</f>
        <v>1.4797277300976621</v>
      </c>
      <c r="K36" s="24">
        <f t="shared" si="12"/>
        <v>148.00019999999998</v>
      </c>
      <c r="L36" s="27">
        <f t="shared" si="13"/>
        <v>-0.73676581343283587</v>
      </c>
      <c r="M36" s="28">
        <f t="shared" si="8"/>
        <v>-414.23756223776229</v>
      </c>
      <c r="N36" s="29">
        <v>1.5</v>
      </c>
      <c r="O36" s="30">
        <f t="shared" si="10"/>
        <v>0.75</v>
      </c>
      <c r="P36" s="33">
        <f t="shared" si="14"/>
        <v>-0.59000000000000008</v>
      </c>
    </row>
    <row r="37" spans="1:16" x14ac:dyDescent="0.2">
      <c r="A37" s="34" t="s">
        <v>76</v>
      </c>
      <c r="B37" s="20" t="s">
        <v>77</v>
      </c>
      <c r="C37" s="21">
        <v>44517</v>
      </c>
      <c r="D37" s="20">
        <v>4000</v>
      </c>
      <c r="E37" s="22">
        <v>1.3869</v>
      </c>
      <c r="F37" s="39">
        <v>0.184</v>
      </c>
      <c r="G37" s="24">
        <f t="shared" si="11"/>
        <v>530.67993366500832</v>
      </c>
      <c r="H37" s="25">
        <v>0.11</v>
      </c>
      <c r="I37" s="37">
        <v>0</v>
      </c>
      <c r="J37" s="22">
        <f>C147</f>
        <v>1.4797277300976621</v>
      </c>
      <c r="K37" s="24">
        <f t="shared" si="12"/>
        <v>297.35200000000003</v>
      </c>
      <c r="L37" s="27">
        <f t="shared" si="13"/>
        <v>-0.43967732499999995</v>
      </c>
      <c r="M37" s="28">
        <f t="shared" si="8"/>
        <v>-233.32793366500829</v>
      </c>
      <c r="N37" s="29">
        <v>0.27500000000000002</v>
      </c>
      <c r="O37" s="30">
        <f t="shared" si="10"/>
        <v>0.13750000000000001</v>
      </c>
      <c r="P37" s="33">
        <f t="shared" si="14"/>
        <v>-4.6499999999999986E-2</v>
      </c>
    </row>
    <row r="38" spans="1:16" x14ac:dyDescent="0.2">
      <c r="A38" s="34" t="s">
        <v>78</v>
      </c>
      <c r="B38" s="20" t="s">
        <v>79</v>
      </c>
      <c r="C38" s="21">
        <v>44621</v>
      </c>
      <c r="D38" s="20">
        <v>800</v>
      </c>
      <c r="E38" s="22">
        <v>1.4169</v>
      </c>
      <c r="F38" s="39">
        <v>0.9</v>
      </c>
      <c r="G38" s="24">
        <f t="shared" si="11"/>
        <v>508.15159856023712</v>
      </c>
      <c r="H38" s="25">
        <v>0.32</v>
      </c>
      <c r="I38" s="37">
        <v>0</v>
      </c>
      <c r="J38" s="22">
        <f>C147</f>
        <v>1.4797277300976621</v>
      </c>
      <c r="K38" s="24">
        <f t="shared" si="12"/>
        <v>173.00479999999999</v>
      </c>
      <c r="L38" s="27">
        <f t="shared" si="13"/>
        <v>-0.65954097066666673</v>
      </c>
      <c r="M38" s="28">
        <f t="shared" si="8"/>
        <v>-335.14679856023713</v>
      </c>
      <c r="N38" s="29">
        <v>1.1200000000000001</v>
      </c>
      <c r="O38" s="30">
        <f t="shared" si="10"/>
        <v>0.56000000000000005</v>
      </c>
      <c r="P38" s="33">
        <f t="shared" si="14"/>
        <v>-0.33999999999999997</v>
      </c>
    </row>
    <row r="39" spans="1:16" x14ac:dyDescent="0.2">
      <c r="A39" s="34" t="s">
        <v>80</v>
      </c>
      <c r="B39" s="20" t="s">
        <v>81</v>
      </c>
      <c r="C39" s="21">
        <v>44628</v>
      </c>
      <c r="D39" s="20">
        <v>500</v>
      </c>
      <c r="E39" s="22">
        <v>1.4157</v>
      </c>
      <c r="F39" s="39">
        <v>1.04</v>
      </c>
      <c r="G39" s="24">
        <f t="shared" si="11"/>
        <v>367.30945821854914</v>
      </c>
      <c r="H39" s="25">
        <v>0.86</v>
      </c>
      <c r="I39" s="37">
        <v>0</v>
      </c>
      <c r="J39" s="22">
        <f>C147</f>
        <v>1.4797277300976621</v>
      </c>
      <c r="K39" s="24">
        <f t="shared" si="12"/>
        <v>290.59399999999994</v>
      </c>
      <c r="L39" s="27">
        <f t="shared" si="13"/>
        <v>-0.20885783500000019</v>
      </c>
      <c r="M39" s="28">
        <f t="shared" si="8"/>
        <v>-76.715458218549202</v>
      </c>
      <c r="N39" s="29">
        <v>1.25</v>
      </c>
      <c r="O39" s="30">
        <f t="shared" si="10"/>
        <v>0.625</v>
      </c>
      <c r="P39" s="33">
        <f t="shared" si="14"/>
        <v>-0.41500000000000004</v>
      </c>
    </row>
    <row r="40" spans="1:16" x14ac:dyDescent="0.2">
      <c r="A40" s="34" t="s">
        <v>82</v>
      </c>
      <c r="B40" s="20" t="s">
        <v>83</v>
      </c>
      <c r="C40" s="21">
        <v>44628</v>
      </c>
      <c r="D40" s="20">
        <v>2000</v>
      </c>
      <c r="E40" s="22">
        <v>1.0708</v>
      </c>
      <c r="F40" s="39">
        <v>0.34375</v>
      </c>
      <c r="G40" s="24">
        <f t="shared" si="11"/>
        <v>642.04333208815842</v>
      </c>
      <c r="H40" s="25">
        <v>0.25979999999999998</v>
      </c>
      <c r="I40" s="37">
        <v>0</v>
      </c>
      <c r="J40" s="22">
        <f>C146</f>
        <v>1.0763104079216446</v>
      </c>
      <c r="K40" s="24">
        <f t="shared" si="12"/>
        <v>482.76035999999999</v>
      </c>
      <c r="L40" s="27">
        <f t="shared" si="13"/>
        <v>-0.24808757310836368</v>
      </c>
      <c r="M40" s="28">
        <f t="shared" si="8"/>
        <v>-159.28297208815843</v>
      </c>
      <c r="N40" s="29">
        <v>0.93500000000000005</v>
      </c>
      <c r="O40" s="30">
        <f t="shared" si="10"/>
        <v>0.46750000000000003</v>
      </c>
      <c r="P40" s="33">
        <f t="shared" si="14"/>
        <v>0.12375000000000003</v>
      </c>
    </row>
    <row r="41" spans="1:16" x14ac:dyDescent="0.2">
      <c r="A41" s="34" t="s">
        <v>84</v>
      </c>
      <c r="B41" s="20" t="s">
        <v>85</v>
      </c>
      <c r="C41" s="21">
        <v>44635</v>
      </c>
      <c r="D41" s="20">
        <v>600</v>
      </c>
      <c r="E41" s="22">
        <v>1.4024000000000001</v>
      </c>
      <c r="F41" s="39">
        <v>1.51</v>
      </c>
      <c r="G41" s="24">
        <f t="shared" si="11"/>
        <v>646.03536794067304</v>
      </c>
      <c r="H41" s="25">
        <v>0.67</v>
      </c>
      <c r="I41" s="37">
        <v>0</v>
      </c>
      <c r="J41" s="22">
        <f>C147</f>
        <v>1.4797277300976621</v>
      </c>
      <c r="K41" s="24">
        <f t="shared" si="12"/>
        <v>271.67160000000001</v>
      </c>
      <c r="L41" s="27">
        <f t="shared" si="13"/>
        <v>-0.57947875072847677</v>
      </c>
      <c r="M41" s="28">
        <f t="shared" si="8"/>
        <v>-374.36376794067303</v>
      </c>
      <c r="N41" s="29">
        <v>2.77</v>
      </c>
      <c r="O41" s="30">
        <f t="shared" si="10"/>
        <v>1.385</v>
      </c>
      <c r="P41" s="33">
        <f t="shared" si="14"/>
        <v>-0.125</v>
      </c>
    </row>
    <row r="42" spans="1:16" x14ac:dyDescent="0.2">
      <c r="A42" s="34" t="s">
        <v>86</v>
      </c>
      <c r="B42" s="20" t="s">
        <v>87</v>
      </c>
      <c r="C42" s="21">
        <v>44651</v>
      </c>
      <c r="D42" s="20">
        <v>4000</v>
      </c>
      <c r="E42" s="22">
        <v>1.3812</v>
      </c>
      <c r="F42" s="39">
        <v>0.25650000000000001</v>
      </c>
      <c r="G42" s="24">
        <f t="shared" si="11"/>
        <v>742.83231972198087</v>
      </c>
      <c r="H42" s="25">
        <v>0.115</v>
      </c>
      <c r="I42" s="37">
        <v>0</v>
      </c>
      <c r="J42" s="22">
        <f>C147</f>
        <v>1.4797277300976621</v>
      </c>
      <c r="K42" s="24">
        <f t="shared" si="12"/>
        <v>310.86799999999999</v>
      </c>
      <c r="L42" s="27">
        <f t="shared" si="13"/>
        <v>-0.58150986198830412</v>
      </c>
      <c r="M42" s="28">
        <f t="shared" si="8"/>
        <v>-431.96431972198087</v>
      </c>
      <c r="N42" s="29">
        <v>0.45</v>
      </c>
      <c r="O42" s="30">
        <f t="shared" si="10"/>
        <v>0.22500000000000001</v>
      </c>
      <c r="P42" s="33">
        <f t="shared" si="14"/>
        <v>-3.15E-2</v>
      </c>
    </row>
    <row r="43" spans="1:16" x14ac:dyDescent="0.2">
      <c r="A43" s="34" t="s">
        <v>88</v>
      </c>
      <c r="B43" s="20" t="s">
        <v>89</v>
      </c>
      <c r="C43" s="21">
        <v>44657</v>
      </c>
      <c r="D43" s="20">
        <v>500</v>
      </c>
      <c r="E43" s="22">
        <v>1.3677999999999999</v>
      </c>
      <c r="F43" s="39">
        <v>1.595</v>
      </c>
      <c r="G43" s="24">
        <f t="shared" si="11"/>
        <v>583.05307793537065</v>
      </c>
      <c r="H43" s="25">
        <v>1.37</v>
      </c>
      <c r="I43" s="37">
        <v>0</v>
      </c>
      <c r="J43" s="22">
        <f>C147</f>
        <v>1.4797277300976621</v>
      </c>
      <c r="K43" s="24">
        <f>((H43+I43)/J43)*D43</f>
        <v>462.923</v>
      </c>
      <c r="L43" s="27">
        <f>(K43-G43)/G43</f>
        <v>-0.20603626407523509</v>
      </c>
      <c r="M43" s="28">
        <f t="shared" si="8"/>
        <v>-120.13007793537065</v>
      </c>
      <c r="N43" s="29">
        <v>1.75</v>
      </c>
      <c r="O43" s="30">
        <f t="shared" si="10"/>
        <v>0.875</v>
      </c>
      <c r="P43" s="33">
        <f>O43-F43</f>
        <v>-0.72</v>
      </c>
    </row>
    <row r="44" spans="1:16" x14ac:dyDescent="0.2">
      <c r="A44" s="34" t="s">
        <v>90</v>
      </c>
      <c r="B44" s="20" t="s">
        <v>91</v>
      </c>
      <c r="C44" s="21">
        <v>44676</v>
      </c>
      <c r="D44" s="20">
        <v>6000</v>
      </c>
      <c r="E44" s="22">
        <v>1.3876999999999999</v>
      </c>
      <c r="F44" s="39">
        <v>6.6000000000000003E-2</v>
      </c>
      <c r="G44" s="24">
        <f t="shared" si="11"/>
        <v>285.36427181667511</v>
      </c>
      <c r="H44" s="25">
        <f>'[1]auto data'!M20</f>
        <v>0.05</v>
      </c>
      <c r="I44" s="37">
        <v>0</v>
      </c>
      <c r="J44" s="22">
        <f>C147</f>
        <v>1.4797277300976621</v>
      </c>
      <c r="K44" s="24">
        <f>((H44+I44)/J44)*D44</f>
        <v>202.74</v>
      </c>
      <c r="L44" s="27">
        <f>(K44-G44)/G44</f>
        <v>-0.2895396515151516</v>
      </c>
      <c r="M44" s="28">
        <f t="shared" si="8"/>
        <v>-82.624271816675105</v>
      </c>
      <c r="N44" s="29">
        <v>0.14000000000000001</v>
      </c>
      <c r="O44" s="30">
        <f t="shared" si="10"/>
        <v>7.0000000000000007E-2</v>
      </c>
      <c r="P44" s="33">
        <f>O44-F44</f>
        <v>4.0000000000000036E-3</v>
      </c>
    </row>
    <row r="45" spans="1:16" x14ac:dyDescent="0.2">
      <c r="A45" s="34" t="s">
        <v>92</v>
      </c>
      <c r="B45" s="20" t="s">
        <v>93</v>
      </c>
      <c r="C45" s="21">
        <v>44712</v>
      </c>
      <c r="D45" s="20">
        <v>1000</v>
      </c>
      <c r="E45" s="22">
        <v>1.3902000000000001</v>
      </c>
      <c r="F45" s="39">
        <v>0.54500000000000004</v>
      </c>
      <c r="G45" s="24">
        <f t="shared" si="11"/>
        <v>392.02992375197812</v>
      </c>
      <c r="H45" s="25">
        <v>0.53</v>
      </c>
      <c r="I45" s="37">
        <v>0</v>
      </c>
      <c r="J45" s="22">
        <f>C147</f>
        <v>1.4797277300976621</v>
      </c>
      <c r="K45" s="24">
        <f>((H45+I45)/J45)*D45</f>
        <v>358.17399999999998</v>
      </c>
      <c r="L45" s="27">
        <f>(K45-G45)/G45</f>
        <v>-8.6360560000000017E-2</v>
      </c>
      <c r="M45" s="28">
        <f t="shared" si="8"/>
        <v>-33.855923751978139</v>
      </c>
      <c r="N45" s="29">
        <v>0.62</v>
      </c>
      <c r="O45" s="30">
        <f t="shared" si="10"/>
        <v>0.31</v>
      </c>
      <c r="P45" s="33">
        <f>O45-F45</f>
        <v>-0.23500000000000004</v>
      </c>
    </row>
    <row r="46" spans="1:16" x14ac:dyDescent="0.2">
      <c r="A46" s="2" t="s">
        <v>94</v>
      </c>
      <c r="B46" s="3"/>
      <c r="C46" s="3"/>
      <c r="D46" s="3"/>
      <c r="E46" s="3"/>
      <c r="F46" s="4"/>
      <c r="G46" s="5"/>
      <c r="H46" s="6"/>
      <c r="I46" s="6"/>
      <c r="J46" s="6"/>
      <c r="K46" s="7"/>
      <c r="L46" s="8" t="s">
        <v>1</v>
      </c>
      <c r="M46" s="9">
        <f>SUM(K48:K60)</f>
        <v>19347.7962635</v>
      </c>
      <c r="N46" s="10"/>
      <c r="O46" s="11"/>
      <c r="P46" s="12">
        <f>M46/P152</f>
        <v>0.3648573854876942</v>
      </c>
    </row>
    <row r="47" spans="1:16" x14ac:dyDescent="0.2">
      <c r="A47" s="13" t="s">
        <v>2</v>
      </c>
      <c r="B47" s="13" t="s">
        <v>3</v>
      </c>
      <c r="C47" s="14" t="s">
        <v>4</v>
      </c>
      <c r="D47" s="13" t="s">
        <v>5</v>
      </c>
      <c r="E47" s="15" t="s">
        <v>6</v>
      </c>
      <c r="F47" s="13" t="s">
        <v>7</v>
      </c>
      <c r="G47" s="13" t="s">
        <v>8</v>
      </c>
      <c r="H47" s="16" t="s">
        <v>9</v>
      </c>
      <c r="I47" s="13" t="s">
        <v>10</v>
      </c>
      <c r="J47" s="15" t="s">
        <v>11</v>
      </c>
      <c r="K47" s="13" t="s">
        <v>12</v>
      </c>
      <c r="L47" s="13" t="s">
        <v>13</v>
      </c>
      <c r="M47" s="17" t="s">
        <v>14</v>
      </c>
      <c r="N47" s="18" t="s">
        <v>15</v>
      </c>
      <c r="O47" s="19" t="s">
        <v>16</v>
      </c>
      <c r="P47" s="17" t="s">
        <v>17</v>
      </c>
    </row>
    <row r="48" spans="1:16" x14ac:dyDescent="0.2">
      <c r="A48" s="20" t="s">
        <v>95</v>
      </c>
      <c r="B48" s="20" t="s">
        <v>96</v>
      </c>
      <c r="C48" s="21">
        <v>43906</v>
      </c>
      <c r="D48" s="20">
        <v>900</v>
      </c>
      <c r="E48" s="22">
        <v>1.1200000000000001</v>
      </c>
      <c r="F48" s="23">
        <v>2.5</v>
      </c>
      <c r="G48" s="24">
        <f t="shared" ref="G48:G60" si="15">(F48*D48)/E48</f>
        <v>2008.9285714285713</v>
      </c>
      <c r="H48" s="40">
        <v>3.56</v>
      </c>
      <c r="I48" s="26">
        <f>[1]Dividend!P9</f>
        <v>1.1400000000000001</v>
      </c>
      <c r="J48" s="22">
        <f>C146</f>
        <v>1.0763104079216446</v>
      </c>
      <c r="K48" s="24">
        <f t="shared" ref="K48:K60" si="16">((H48+I48)/J48)*D48</f>
        <v>3930.0930000000008</v>
      </c>
      <c r="L48" s="35">
        <f t="shared" ref="L48:L54" si="17">(K48-G48)/G48</f>
        <v>0.95631296000000043</v>
      </c>
      <c r="M48" s="28">
        <f t="shared" ref="M48:M60" si="18">K48-G48</f>
        <v>1921.1644285714294</v>
      </c>
      <c r="N48" s="29">
        <v>4.25</v>
      </c>
      <c r="O48" s="30">
        <f t="shared" ref="O48:O54" si="19">(N48+I48)*0.75</f>
        <v>4.0425000000000004</v>
      </c>
      <c r="P48" s="31">
        <f t="shared" ref="P48:P54" si="20">O48-F48</f>
        <v>1.5425000000000004</v>
      </c>
    </row>
    <row r="49" spans="1:16" x14ac:dyDescent="0.2">
      <c r="A49" s="20" t="s">
        <v>97</v>
      </c>
      <c r="B49" s="20" t="s">
        <v>98</v>
      </c>
      <c r="C49" s="21">
        <v>44137</v>
      </c>
      <c r="D49" s="20">
        <v>30</v>
      </c>
      <c r="E49" s="22">
        <v>1.1639999999999999</v>
      </c>
      <c r="F49" s="23">
        <v>36.47</v>
      </c>
      <c r="G49" s="24">
        <f t="shared" si="15"/>
        <v>939.94845360824741</v>
      </c>
      <c r="H49" s="40">
        <v>43.97</v>
      </c>
      <c r="I49" s="26">
        <f>[1]Dividend!P10</f>
        <v>8.06</v>
      </c>
      <c r="J49" s="22">
        <f>C146</f>
        <v>1.0763104079216446</v>
      </c>
      <c r="K49" s="24">
        <f t="shared" si="16"/>
        <v>1450.2321899999999</v>
      </c>
      <c r="L49" s="35">
        <f t="shared" si="17"/>
        <v>0.54288480866465583</v>
      </c>
      <c r="M49" s="28">
        <f t="shared" si="18"/>
        <v>510.28373639175254</v>
      </c>
      <c r="N49" s="29">
        <v>55.37</v>
      </c>
      <c r="O49" s="30">
        <f t="shared" si="19"/>
        <v>47.572499999999998</v>
      </c>
      <c r="P49" s="31">
        <f t="shared" si="20"/>
        <v>11.102499999999999</v>
      </c>
    </row>
    <row r="50" spans="1:16" x14ac:dyDescent="0.2">
      <c r="A50" s="20" t="s">
        <v>99</v>
      </c>
      <c r="B50" s="20" t="s">
        <v>100</v>
      </c>
      <c r="C50" s="21">
        <v>44403</v>
      </c>
      <c r="D50" s="20">
        <v>100</v>
      </c>
      <c r="E50" s="22">
        <v>1</v>
      </c>
      <c r="F50" s="23">
        <v>16.3</v>
      </c>
      <c r="G50" s="24">
        <f t="shared" si="15"/>
        <v>1630</v>
      </c>
      <c r="H50" s="40">
        <v>25.24</v>
      </c>
      <c r="I50" s="26">
        <f>[1]Dividend!P13</f>
        <v>1.7149999999999999</v>
      </c>
      <c r="J50" s="22">
        <v>1</v>
      </c>
      <c r="K50" s="24">
        <f t="shared" si="16"/>
        <v>2695.5</v>
      </c>
      <c r="L50" s="35">
        <f t="shared" si="17"/>
        <v>0.65368098159509203</v>
      </c>
      <c r="M50" s="28">
        <f t="shared" si="18"/>
        <v>1065.5</v>
      </c>
      <c r="N50" s="41">
        <v>28.03</v>
      </c>
      <c r="O50" s="30">
        <f t="shared" si="19"/>
        <v>22.30875</v>
      </c>
      <c r="P50" s="31">
        <f t="shared" si="20"/>
        <v>6.0087499999999991</v>
      </c>
    </row>
    <row r="51" spans="1:16" x14ac:dyDescent="0.2">
      <c r="A51" s="20" t="s">
        <v>101</v>
      </c>
      <c r="B51" s="20" t="s">
        <v>102</v>
      </c>
      <c r="C51" s="21">
        <v>44648</v>
      </c>
      <c r="D51" s="20">
        <v>12</v>
      </c>
      <c r="E51" s="22">
        <v>1.0988</v>
      </c>
      <c r="F51" s="23">
        <v>51.5</v>
      </c>
      <c r="G51" s="24">
        <f t="shared" si="15"/>
        <v>562.43174372042233</v>
      </c>
      <c r="H51" s="40">
        <v>50.44</v>
      </c>
      <c r="I51" s="26">
        <f>[1]Dividend!P17</f>
        <v>8</v>
      </c>
      <c r="J51" s="22">
        <f>C146</f>
        <v>1.0763104079216446</v>
      </c>
      <c r="K51" s="24">
        <f>((H51+I51)/J51)*D51</f>
        <v>651.55924800000003</v>
      </c>
      <c r="L51" s="35">
        <f t="shared" si="17"/>
        <v>0.15846812573203878</v>
      </c>
      <c r="M51" s="28">
        <f t="shared" si="18"/>
        <v>89.127504279577693</v>
      </c>
      <c r="N51" s="41">
        <v>54.29</v>
      </c>
      <c r="O51" s="30">
        <f t="shared" si="19"/>
        <v>46.717500000000001</v>
      </c>
      <c r="P51" s="33">
        <f t="shared" si="20"/>
        <v>-4.7824999999999989</v>
      </c>
    </row>
    <row r="52" spans="1:16" x14ac:dyDescent="0.2">
      <c r="A52" s="20" t="s">
        <v>103</v>
      </c>
      <c r="B52" s="20" t="s">
        <v>104</v>
      </c>
      <c r="C52" s="21">
        <v>44651</v>
      </c>
      <c r="D52" s="20">
        <v>150</v>
      </c>
      <c r="E52" s="22">
        <v>1.0618000000000001</v>
      </c>
      <c r="F52" s="29">
        <v>16.25</v>
      </c>
      <c r="G52" s="24">
        <f t="shared" si="15"/>
        <v>2295.6300621585983</v>
      </c>
      <c r="H52" s="40">
        <v>14.95</v>
      </c>
      <c r="I52" s="26">
        <f>[1]Dividend!P22</f>
        <v>1.05</v>
      </c>
      <c r="J52" s="22">
        <f>C146</f>
        <v>1.0763104079216446</v>
      </c>
      <c r="K52" s="24">
        <f>((H52+I52)/J52)*D52</f>
        <v>2229.84</v>
      </c>
      <c r="L52" s="27">
        <f t="shared" si="17"/>
        <v>-2.8658825846153663E-2</v>
      </c>
      <c r="M52" s="28">
        <f t="shared" si="18"/>
        <v>-65.790062158598175</v>
      </c>
      <c r="N52" s="29">
        <v>20.83</v>
      </c>
      <c r="O52" s="30">
        <f t="shared" si="19"/>
        <v>16.41</v>
      </c>
      <c r="P52" s="33">
        <f t="shared" si="20"/>
        <v>0.16000000000000014</v>
      </c>
    </row>
    <row r="53" spans="1:16" x14ac:dyDescent="0.2">
      <c r="A53" s="20" t="s">
        <v>105</v>
      </c>
      <c r="B53" s="20" t="s">
        <v>106</v>
      </c>
      <c r="C53" s="21">
        <v>44678</v>
      </c>
      <c r="D53" s="20">
        <v>30</v>
      </c>
      <c r="E53" s="22">
        <v>1.0464</v>
      </c>
      <c r="F53" s="23">
        <v>66.599999999999994</v>
      </c>
      <c r="G53" s="24">
        <f t="shared" si="15"/>
        <v>1909.4036697247705</v>
      </c>
      <c r="H53" s="40">
        <v>64.67</v>
      </c>
      <c r="I53" s="26">
        <f>[1]Dividend!P25</f>
        <v>4.915</v>
      </c>
      <c r="J53" s="22">
        <f>C146</f>
        <v>1.0763104079216446</v>
      </c>
      <c r="K53" s="24">
        <f t="shared" si="16"/>
        <v>1939.5427050000003</v>
      </c>
      <c r="L53" s="35">
        <f t="shared" si="17"/>
        <v>1.5784527783784041E-2</v>
      </c>
      <c r="M53" s="28">
        <f t="shared" si="18"/>
        <v>30.139035275229844</v>
      </c>
      <c r="N53" s="41">
        <v>73.19</v>
      </c>
      <c r="O53" s="30">
        <f t="shared" si="19"/>
        <v>58.578749999999999</v>
      </c>
      <c r="P53" s="33">
        <f t="shared" si="20"/>
        <v>-8.0212499999999949</v>
      </c>
    </row>
    <row r="54" spans="1:16" x14ac:dyDescent="0.2">
      <c r="A54" s="20" t="s">
        <v>107</v>
      </c>
      <c r="B54" s="20" t="s">
        <v>108</v>
      </c>
      <c r="C54" s="21">
        <v>44678</v>
      </c>
      <c r="D54" s="20">
        <v>30</v>
      </c>
      <c r="E54" s="22">
        <v>1.0464</v>
      </c>
      <c r="F54" s="23">
        <v>62.12</v>
      </c>
      <c r="G54" s="24">
        <f t="shared" si="15"/>
        <v>1780.9633027522934</v>
      </c>
      <c r="H54" s="40">
        <v>58.15</v>
      </c>
      <c r="I54" s="26">
        <f>[1]Dividend!P24</f>
        <v>5.2649999999999997</v>
      </c>
      <c r="J54" s="22">
        <f>C146</f>
        <v>1.0763104079216446</v>
      </c>
      <c r="K54" s="24">
        <f t="shared" si="16"/>
        <v>1767.5662950000001</v>
      </c>
      <c r="L54" s="27">
        <f t="shared" si="17"/>
        <v>-7.522337900836961E-3</v>
      </c>
      <c r="M54" s="28">
        <f t="shared" si="18"/>
        <v>-13.397007752293348</v>
      </c>
      <c r="N54" s="41">
        <v>71.02</v>
      </c>
      <c r="O54" s="30">
        <f t="shared" si="19"/>
        <v>57.213749999999997</v>
      </c>
      <c r="P54" s="33">
        <f t="shared" si="20"/>
        <v>-4.90625</v>
      </c>
    </row>
    <row r="55" spans="1:16" x14ac:dyDescent="0.2">
      <c r="A55" s="20" t="s">
        <v>109</v>
      </c>
      <c r="B55" s="20" t="s">
        <v>110</v>
      </c>
      <c r="C55" s="21">
        <v>44714</v>
      </c>
      <c r="D55" s="20">
        <v>7</v>
      </c>
      <c r="E55" s="22">
        <v>1.0722</v>
      </c>
      <c r="F55" s="23">
        <v>0</v>
      </c>
      <c r="G55" s="24">
        <f t="shared" si="15"/>
        <v>0</v>
      </c>
      <c r="H55" s="40">
        <v>21.45</v>
      </c>
      <c r="I55" s="26">
        <f>[1]Dividend!P26</f>
        <v>2.4900000000000002</v>
      </c>
      <c r="J55" s="22">
        <f>C146</f>
        <v>1.0763104079216446</v>
      </c>
      <c r="K55" s="24">
        <f t="shared" si="16"/>
        <v>155.698578</v>
      </c>
      <c r="L55" s="38" t="s">
        <v>111</v>
      </c>
      <c r="M55" s="28">
        <f t="shared" si="18"/>
        <v>155.698578</v>
      </c>
      <c r="N55" s="41"/>
      <c r="O55" s="30"/>
      <c r="P55" s="33"/>
    </row>
    <row r="56" spans="1:16" x14ac:dyDescent="0.2">
      <c r="A56" s="20" t="s">
        <v>112</v>
      </c>
      <c r="B56" s="20" t="s">
        <v>113</v>
      </c>
      <c r="C56" s="21">
        <v>44729</v>
      </c>
      <c r="D56" s="20">
        <v>100</v>
      </c>
      <c r="E56" s="22">
        <v>1.3684000000000001</v>
      </c>
      <c r="F56" s="26">
        <v>12.61</v>
      </c>
      <c r="G56" s="24">
        <f t="shared" si="15"/>
        <v>921.51417714118679</v>
      </c>
      <c r="H56" s="40">
        <v>14.1</v>
      </c>
      <c r="I56" s="26">
        <f>[1]Dividend!P19</f>
        <v>0.78999999999999981</v>
      </c>
      <c r="J56" s="22">
        <f>C147</f>
        <v>1.4797277300976621</v>
      </c>
      <c r="K56" s="24">
        <f t="shared" si="16"/>
        <v>1006.2661999999998</v>
      </c>
      <c r="L56" s="35">
        <f>(K56-G56)/G56</f>
        <v>9.1970394988104456E-2</v>
      </c>
      <c r="M56" s="28">
        <f t="shared" si="18"/>
        <v>84.752022858813007</v>
      </c>
      <c r="N56" s="29">
        <v>17.98</v>
      </c>
      <c r="O56" s="30">
        <f>(N56+I56)*0.75</f>
        <v>14.077500000000001</v>
      </c>
      <c r="P56" s="31">
        <f>O56-F56</f>
        <v>1.4675000000000011</v>
      </c>
    </row>
    <row r="57" spans="1:16" x14ac:dyDescent="0.2">
      <c r="A57" s="20" t="s">
        <v>114</v>
      </c>
      <c r="B57" s="20" t="s">
        <v>115</v>
      </c>
      <c r="C57" s="21">
        <v>44733</v>
      </c>
      <c r="D57" s="20">
        <v>25</v>
      </c>
      <c r="E57" s="22">
        <v>1.0536000000000001</v>
      </c>
      <c r="F57" s="26">
        <v>28.905000000000001</v>
      </c>
      <c r="G57" s="24">
        <f t="shared" si="15"/>
        <v>685.86275626423685</v>
      </c>
      <c r="H57" s="40">
        <v>34</v>
      </c>
      <c r="I57" s="26">
        <f>[1]Dividend!P20</f>
        <v>2.25</v>
      </c>
      <c r="J57" s="22">
        <f>C146</f>
        <v>1.0763104079216446</v>
      </c>
      <c r="K57" s="24">
        <f t="shared" si="16"/>
        <v>841.99687500000005</v>
      </c>
      <c r="L57" s="35">
        <f>(K57-G57)/G57</f>
        <v>0.22764629994810603</v>
      </c>
      <c r="M57" s="28">
        <f t="shared" si="18"/>
        <v>156.1341187357632</v>
      </c>
      <c r="N57" s="29">
        <v>33.93</v>
      </c>
      <c r="O57" s="30">
        <f>(N57+I57)*0.75</f>
        <v>27.134999999999998</v>
      </c>
      <c r="P57" s="33">
        <f>O57-F57</f>
        <v>-1.7700000000000031</v>
      </c>
    </row>
    <row r="58" spans="1:16" x14ac:dyDescent="0.2">
      <c r="A58" s="20" t="s">
        <v>116</v>
      </c>
      <c r="B58" s="20" t="s">
        <v>117</v>
      </c>
      <c r="C58" s="21">
        <v>44844</v>
      </c>
      <c r="D58" s="20">
        <v>35</v>
      </c>
      <c r="E58" s="22">
        <v>0.97170000000000001</v>
      </c>
      <c r="F58" s="26">
        <v>32.229999999999997</v>
      </c>
      <c r="G58" s="24">
        <f t="shared" si="15"/>
        <v>1160.9035710610269</v>
      </c>
      <c r="H58" s="40">
        <v>26.765000000000001</v>
      </c>
      <c r="I58" s="26">
        <f>[1]Dividend!P21</f>
        <v>0.98</v>
      </c>
      <c r="J58" s="22">
        <f>C146</f>
        <v>1.0763104079216446</v>
      </c>
      <c r="K58" s="24">
        <f t="shared" si="16"/>
        <v>902.22578250000004</v>
      </c>
      <c r="L58" s="27">
        <f>(K58-G58)/G58</f>
        <v>-0.22282452652342524</v>
      </c>
      <c r="M58" s="28">
        <f t="shared" si="18"/>
        <v>-258.67778856102689</v>
      </c>
      <c r="N58" s="29">
        <v>33.33</v>
      </c>
      <c r="O58" s="30">
        <f>(N58+I58)*0.75</f>
        <v>25.732499999999995</v>
      </c>
      <c r="P58" s="33">
        <f>O58-F58</f>
        <v>-6.4975000000000023</v>
      </c>
    </row>
    <row r="59" spans="1:16" x14ac:dyDescent="0.2">
      <c r="A59" s="20" t="s">
        <v>118</v>
      </c>
      <c r="B59" s="20" t="s">
        <v>119</v>
      </c>
      <c r="C59" s="42">
        <v>44843</v>
      </c>
      <c r="D59" s="20">
        <v>60</v>
      </c>
      <c r="E59" s="22">
        <v>1</v>
      </c>
      <c r="F59" s="26">
        <v>18.239999999999998</v>
      </c>
      <c r="G59" s="24">
        <f t="shared" si="15"/>
        <v>1094.3999999999999</v>
      </c>
      <c r="H59" s="40">
        <v>14.79</v>
      </c>
      <c r="I59" s="26">
        <f>[1]Dividend!P23</f>
        <v>0.92500000000000004</v>
      </c>
      <c r="J59" s="22">
        <f>C146</f>
        <v>1.0763104079216446</v>
      </c>
      <c r="K59" s="24">
        <f t="shared" si="16"/>
        <v>876.04839000000004</v>
      </c>
      <c r="L59" s="27">
        <f>(K59-G59)/G59</f>
        <v>-0.19951718749999986</v>
      </c>
      <c r="M59" s="28">
        <f t="shared" si="18"/>
        <v>-218.35160999999982</v>
      </c>
      <c r="N59" s="29">
        <v>18.850000000000001</v>
      </c>
      <c r="O59" s="30">
        <f>(N59+I59)*0.75</f>
        <v>14.831250000000001</v>
      </c>
      <c r="P59" s="33">
        <f>O59-F59</f>
        <v>-3.4087499999999977</v>
      </c>
    </row>
    <row r="60" spans="1:16" x14ac:dyDescent="0.2">
      <c r="A60" s="20" t="s">
        <v>120</v>
      </c>
      <c r="B60" s="20" t="s">
        <v>121</v>
      </c>
      <c r="C60" s="42">
        <v>44929</v>
      </c>
      <c r="D60" s="20">
        <v>100</v>
      </c>
      <c r="E60" s="22">
        <v>1.0557000000000001</v>
      </c>
      <c r="F60" s="26">
        <v>9.5500000000000007</v>
      </c>
      <c r="G60" s="24">
        <f t="shared" si="15"/>
        <v>904.61305295064892</v>
      </c>
      <c r="H60" s="40">
        <v>9.6999999999999993</v>
      </c>
      <c r="I60" s="26">
        <f>[1]Dividend!P29</f>
        <v>0</v>
      </c>
      <c r="J60" s="22">
        <f>C146</f>
        <v>1.0763104079216446</v>
      </c>
      <c r="K60" s="24">
        <f t="shared" si="16"/>
        <v>901.22699999999986</v>
      </c>
      <c r="L60" s="27">
        <f>(K60-G60)/G60</f>
        <v>-3.7430953926703785E-3</v>
      </c>
      <c r="M60" s="28">
        <f t="shared" si="18"/>
        <v>-3.3860529506490593</v>
      </c>
      <c r="N60" s="29">
        <v>9.5500000000000007</v>
      </c>
      <c r="O60" s="30">
        <f>(N60+I60)*0.75</f>
        <v>7.1625000000000005</v>
      </c>
      <c r="P60" s="33">
        <f>O60-F60</f>
        <v>-2.3875000000000002</v>
      </c>
    </row>
    <row r="61" spans="1:16" x14ac:dyDescent="0.2">
      <c r="A61" s="2" t="s">
        <v>122</v>
      </c>
      <c r="B61" s="3"/>
      <c r="C61" s="3"/>
      <c r="D61" s="3"/>
      <c r="E61" s="3"/>
      <c r="F61" s="4"/>
      <c r="G61" s="43"/>
      <c r="H61" s="44"/>
      <c r="I61" s="44"/>
      <c r="J61" s="44"/>
      <c r="K61" s="45"/>
      <c r="L61" s="8" t="s">
        <v>1</v>
      </c>
      <c r="M61" s="9">
        <f>SUM(K63:K74)</f>
        <v>2944.7648140000001</v>
      </c>
      <c r="N61" s="10"/>
      <c r="O61" s="11"/>
      <c r="P61" s="12">
        <f>M61/P152</f>
        <v>5.5531864005572001E-2</v>
      </c>
    </row>
    <row r="62" spans="1:16" x14ac:dyDescent="0.2">
      <c r="A62" s="13" t="s">
        <v>2</v>
      </c>
      <c r="B62" s="13" t="s">
        <v>3</v>
      </c>
      <c r="C62" s="14" t="s">
        <v>4</v>
      </c>
      <c r="D62" s="13" t="s">
        <v>5</v>
      </c>
      <c r="E62" s="15" t="s">
        <v>6</v>
      </c>
      <c r="F62" s="13" t="s">
        <v>7</v>
      </c>
      <c r="G62" s="13" t="s">
        <v>8</v>
      </c>
      <c r="H62" s="16" t="s">
        <v>9</v>
      </c>
      <c r="I62" s="13" t="s">
        <v>10</v>
      </c>
      <c r="J62" s="15" t="s">
        <v>11</v>
      </c>
      <c r="K62" s="13" t="s">
        <v>12</v>
      </c>
      <c r="L62" s="13" t="s">
        <v>13</v>
      </c>
      <c r="M62" s="17" t="s">
        <v>14</v>
      </c>
      <c r="N62" s="18" t="s">
        <v>15</v>
      </c>
      <c r="O62" s="19" t="s">
        <v>16</v>
      </c>
      <c r="P62" s="17" t="s">
        <v>17</v>
      </c>
    </row>
    <row r="63" spans="1:16" x14ac:dyDescent="0.2">
      <c r="A63" s="34" t="s">
        <v>123</v>
      </c>
      <c r="B63" s="20" t="s">
        <v>124</v>
      </c>
      <c r="C63" s="21">
        <v>44285</v>
      </c>
      <c r="D63" s="20">
        <v>200</v>
      </c>
      <c r="E63" s="22">
        <v>1.46</v>
      </c>
      <c r="F63" s="23">
        <v>3.2850000000000001</v>
      </c>
      <c r="G63" s="24">
        <f t="shared" ref="G63:G77" si="21">(F63*D63)/E63</f>
        <v>450</v>
      </c>
      <c r="H63" s="46">
        <v>2.7</v>
      </c>
      <c r="I63" s="20">
        <v>0</v>
      </c>
      <c r="J63" s="22">
        <f>C147</f>
        <v>1.4797277300976621</v>
      </c>
      <c r="K63" s="24">
        <f>((H63+I63)/J63)*D63</f>
        <v>364.93200000000002</v>
      </c>
      <c r="L63" s="27">
        <f t="shared" ref="L63:L77" si="22">(K63-G63)/G63</f>
        <v>-0.18903999999999996</v>
      </c>
      <c r="M63" s="28">
        <f t="shared" ref="M63:M77" si="23">K63-G63</f>
        <v>-85.067999999999984</v>
      </c>
      <c r="N63" s="29">
        <v>2</v>
      </c>
      <c r="O63" s="30">
        <f t="shared" ref="O63:O77" si="24">(N63+I63)*0.5</f>
        <v>1</v>
      </c>
      <c r="P63" s="33">
        <f t="shared" ref="P63:P77" si="25">O63-F63</f>
        <v>-2.2850000000000001</v>
      </c>
    </row>
    <row r="64" spans="1:16" x14ac:dyDescent="0.2">
      <c r="A64" s="20" t="s">
        <v>125</v>
      </c>
      <c r="B64" s="20" t="s">
        <v>126</v>
      </c>
      <c r="C64" s="21">
        <v>44459</v>
      </c>
      <c r="D64" s="20">
        <v>400</v>
      </c>
      <c r="E64" s="22">
        <v>1.4643999999999999</v>
      </c>
      <c r="F64" s="23">
        <v>0.82</v>
      </c>
      <c r="G64" s="24">
        <f t="shared" si="21"/>
        <v>223.98251843758538</v>
      </c>
      <c r="H64" s="46">
        <v>0.61</v>
      </c>
      <c r="I64" s="20">
        <v>0</v>
      </c>
      <c r="J64" s="22">
        <f>C147</f>
        <v>1.4797277300976621</v>
      </c>
      <c r="K64" s="24">
        <f t="shared" ref="K64:K73" si="26">((H64+I64)/J64)*D64</f>
        <v>164.89519999999999</v>
      </c>
      <c r="L64" s="47">
        <f t="shared" si="22"/>
        <v>-0.26380325951219524</v>
      </c>
      <c r="M64" s="28">
        <f t="shared" si="23"/>
        <v>-59.087318437585395</v>
      </c>
      <c r="N64" s="29">
        <v>1.1499999999999999</v>
      </c>
      <c r="O64" s="30">
        <f t="shared" si="24"/>
        <v>0.57499999999999996</v>
      </c>
      <c r="P64" s="33">
        <f t="shared" si="25"/>
        <v>-0.245</v>
      </c>
    </row>
    <row r="65" spans="1:16" x14ac:dyDescent="0.2">
      <c r="A65" s="20" t="s">
        <v>127</v>
      </c>
      <c r="B65" s="20" t="s">
        <v>128</v>
      </c>
      <c r="C65" s="21">
        <v>44469</v>
      </c>
      <c r="D65" s="20">
        <v>500</v>
      </c>
      <c r="E65" s="22">
        <v>1.5638000000000001</v>
      </c>
      <c r="F65" s="23">
        <v>0.83</v>
      </c>
      <c r="G65" s="24">
        <f t="shared" si="21"/>
        <v>265.37920450185442</v>
      </c>
      <c r="H65" s="46">
        <f>'[1]auto data'!P5</f>
        <v>0.51</v>
      </c>
      <c r="I65" s="20">
        <v>0</v>
      </c>
      <c r="J65" s="22">
        <f>C148</f>
        <v>1.6196954972465178</v>
      </c>
      <c r="K65" s="24">
        <f t="shared" si="26"/>
        <v>157.43699999999998</v>
      </c>
      <c r="L65" s="27">
        <f t="shared" si="22"/>
        <v>-0.40674703469879514</v>
      </c>
      <c r="M65" s="28">
        <f t="shared" si="23"/>
        <v>-107.94220450185443</v>
      </c>
      <c r="N65" s="29">
        <v>1.1399999999999999</v>
      </c>
      <c r="O65" s="30">
        <f t="shared" si="24"/>
        <v>0.56999999999999995</v>
      </c>
      <c r="P65" s="33">
        <f t="shared" si="25"/>
        <v>-0.26</v>
      </c>
    </row>
    <row r="66" spans="1:16" x14ac:dyDescent="0.2">
      <c r="A66" s="20" t="s">
        <v>129</v>
      </c>
      <c r="B66" s="20" t="s">
        <v>130</v>
      </c>
      <c r="C66" s="21">
        <v>44481</v>
      </c>
      <c r="D66" s="20">
        <v>358</v>
      </c>
      <c r="E66" s="22">
        <v>1.397</v>
      </c>
      <c r="F66" s="23">
        <v>2.3450000000000002</v>
      </c>
      <c r="G66" s="24">
        <f t="shared" si="21"/>
        <v>600.93772369362932</v>
      </c>
      <c r="H66" s="46">
        <v>1.1599999999999999</v>
      </c>
      <c r="I66" s="20">
        <v>0</v>
      </c>
      <c r="J66" s="22">
        <f>C147</f>
        <v>1.4797277300976621</v>
      </c>
      <c r="K66" s="24">
        <f t="shared" si="26"/>
        <v>280.64622399999996</v>
      </c>
      <c r="L66" s="27">
        <f t="shared" si="22"/>
        <v>-0.53298617654584235</v>
      </c>
      <c r="M66" s="28">
        <f t="shared" si="23"/>
        <v>-320.29149969362936</v>
      </c>
      <c r="N66" s="29">
        <v>2.85</v>
      </c>
      <c r="O66" s="30">
        <f t="shared" si="24"/>
        <v>1.425</v>
      </c>
      <c r="P66" s="33">
        <f t="shared" si="25"/>
        <v>-0.92000000000000015</v>
      </c>
    </row>
    <row r="67" spans="1:16" x14ac:dyDescent="0.2">
      <c r="A67" s="20" t="s">
        <v>131</v>
      </c>
      <c r="B67" s="20" t="s">
        <v>132</v>
      </c>
      <c r="C67" s="21">
        <v>44627</v>
      </c>
      <c r="D67" s="20">
        <v>42</v>
      </c>
      <c r="E67" s="22">
        <v>1.4056999999999999</v>
      </c>
      <c r="F67" s="23">
        <v>0.8</v>
      </c>
      <c r="G67" s="24">
        <f t="shared" si="21"/>
        <v>23.902681937824575</v>
      </c>
      <c r="H67" s="46">
        <f>'[1]auto data'!P7</f>
        <v>0.30499999999999999</v>
      </c>
      <c r="I67" s="20">
        <v>0</v>
      </c>
      <c r="J67" s="22">
        <f>C147</f>
        <v>1.4797277300976621</v>
      </c>
      <c r="K67" s="24">
        <f>((H67+I67)/J67)*D67</f>
        <v>8.6569979999999997</v>
      </c>
      <c r="L67" s="27">
        <f t="shared" si="22"/>
        <v>-0.63782315212500007</v>
      </c>
      <c r="M67" s="28">
        <f t="shared" si="23"/>
        <v>-15.245683937824575</v>
      </c>
      <c r="N67" s="29">
        <v>1.1499999999999999</v>
      </c>
      <c r="O67" s="30">
        <f t="shared" si="24"/>
        <v>0.57499999999999996</v>
      </c>
      <c r="P67" s="33">
        <f t="shared" si="25"/>
        <v>-0.22500000000000009</v>
      </c>
    </row>
    <row r="68" spans="1:16" x14ac:dyDescent="0.2">
      <c r="A68" s="20" t="s">
        <v>133</v>
      </c>
      <c r="B68" s="20" t="s">
        <v>134</v>
      </c>
      <c r="C68" s="21">
        <v>44488</v>
      </c>
      <c r="D68" s="20">
        <v>1000</v>
      </c>
      <c r="E68" s="22">
        <v>1.4415</v>
      </c>
      <c r="F68" s="23">
        <v>0.315</v>
      </c>
      <c r="G68" s="24">
        <f t="shared" si="21"/>
        <v>218.52237252861602</v>
      </c>
      <c r="H68" s="46">
        <v>0.18</v>
      </c>
      <c r="I68" s="20">
        <v>0</v>
      </c>
      <c r="J68" s="22">
        <f>C147</f>
        <v>1.4797277300976621</v>
      </c>
      <c r="K68" s="24">
        <f t="shared" si="26"/>
        <v>121.64399999999999</v>
      </c>
      <c r="L68" s="27">
        <f t="shared" si="22"/>
        <v>-0.44333388571428572</v>
      </c>
      <c r="M68" s="28">
        <f t="shared" si="23"/>
        <v>-96.878372528616026</v>
      </c>
      <c r="N68" s="29">
        <v>0.41</v>
      </c>
      <c r="O68" s="30">
        <f t="shared" si="24"/>
        <v>0.20499999999999999</v>
      </c>
      <c r="P68" s="33">
        <f t="shared" si="25"/>
        <v>-0.11000000000000001</v>
      </c>
    </row>
    <row r="69" spans="1:16" x14ac:dyDescent="0.2">
      <c r="A69" s="34" t="s">
        <v>135</v>
      </c>
      <c r="B69" s="20" t="s">
        <v>136</v>
      </c>
      <c r="C69" s="21">
        <v>44488</v>
      </c>
      <c r="D69" s="20">
        <v>400</v>
      </c>
      <c r="E69" s="22">
        <v>1.052</v>
      </c>
      <c r="F69" s="23">
        <v>1.0649999999999999</v>
      </c>
      <c r="G69" s="24">
        <f t="shared" si="21"/>
        <v>404.94296577946767</v>
      </c>
      <c r="H69" s="46">
        <v>0.70279999999999998</v>
      </c>
      <c r="I69" s="20">
        <v>0</v>
      </c>
      <c r="J69" s="22">
        <f>C146</f>
        <v>1.0763104079216446</v>
      </c>
      <c r="K69" s="24">
        <f t="shared" si="26"/>
        <v>261.18859200000003</v>
      </c>
      <c r="L69" s="27">
        <f t="shared" si="22"/>
        <v>-0.35499906388732388</v>
      </c>
      <c r="M69" s="28">
        <f t="shared" si="23"/>
        <v>-143.75437377946764</v>
      </c>
      <c r="N69" s="29">
        <v>2.91</v>
      </c>
      <c r="O69" s="30">
        <f t="shared" si="24"/>
        <v>1.4550000000000001</v>
      </c>
      <c r="P69" s="33">
        <f t="shared" si="25"/>
        <v>0.39000000000000012</v>
      </c>
    </row>
    <row r="70" spans="1:16" x14ac:dyDescent="0.2">
      <c r="A70" s="34" t="s">
        <v>137</v>
      </c>
      <c r="B70" s="20" t="s">
        <v>138</v>
      </c>
      <c r="C70" s="21">
        <v>44522</v>
      </c>
      <c r="D70" s="20">
        <v>1600</v>
      </c>
      <c r="E70" s="22">
        <v>1.3895</v>
      </c>
      <c r="F70" s="23">
        <v>0.34499999999999997</v>
      </c>
      <c r="G70" s="24">
        <f t="shared" si="21"/>
        <v>397.26520331054337</v>
      </c>
      <c r="H70" s="46">
        <v>0.16500000000000001</v>
      </c>
      <c r="I70" s="20">
        <v>0</v>
      </c>
      <c r="J70" s="22">
        <f>C147</f>
        <v>1.4797277300976621</v>
      </c>
      <c r="K70" s="24">
        <f t="shared" si="26"/>
        <v>178.41119999999998</v>
      </c>
      <c r="L70" s="27">
        <f t="shared" si="22"/>
        <v>-0.55090151739130444</v>
      </c>
      <c r="M70" s="28">
        <f t="shared" si="23"/>
        <v>-218.85400331054339</v>
      </c>
      <c r="N70" s="29">
        <v>0.5</v>
      </c>
      <c r="O70" s="30">
        <f t="shared" si="24"/>
        <v>0.25</v>
      </c>
      <c r="P70" s="33">
        <f t="shared" si="25"/>
        <v>-9.4999999999999973E-2</v>
      </c>
    </row>
    <row r="71" spans="1:16" x14ac:dyDescent="0.2">
      <c r="A71" s="34" t="s">
        <v>139</v>
      </c>
      <c r="B71" s="20" t="s">
        <v>140</v>
      </c>
      <c r="C71" s="21">
        <v>44522</v>
      </c>
      <c r="D71" s="20">
        <v>800</v>
      </c>
      <c r="E71" s="22">
        <v>1.393</v>
      </c>
      <c r="F71" s="23">
        <v>0.51249999999999996</v>
      </c>
      <c r="G71" s="24">
        <f t="shared" si="21"/>
        <v>294.32878679109831</v>
      </c>
      <c r="H71" s="46">
        <v>0.4</v>
      </c>
      <c r="I71" s="20">
        <v>0</v>
      </c>
      <c r="J71" s="22">
        <f>C147</f>
        <v>1.4797277300976621</v>
      </c>
      <c r="K71" s="24">
        <f t="shared" si="26"/>
        <v>216.256</v>
      </c>
      <c r="L71" s="27">
        <f t="shared" si="22"/>
        <v>-0.26525705365853647</v>
      </c>
      <c r="M71" s="28">
        <f t="shared" si="23"/>
        <v>-78.072786791098309</v>
      </c>
      <c r="N71" s="29">
        <v>0.87</v>
      </c>
      <c r="O71" s="30">
        <f t="shared" si="24"/>
        <v>0.435</v>
      </c>
      <c r="P71" s="33">
        <f t="shared" si="25"/>
        <v>-7.7499999999999958E-2</v>
      </c>
    </row>
    <row r="72" spans="1:16" x14ac:dyDescent="0.2">
      <c r="A72" s="32" t="s">
        <v>141</v>
      </c>
      <c r="B72" s="20" t="s">
        <v>142</v>
      </c>
      <c r="C72" s="21">
        <v>44672</v>
      </c>
      <c r="D72" s="20">
        <v>100</v>
      </c>
      <c r="E72" s="22">
        <v>1.0837000000000001</v>
      </c>
      <c r="F72" s="23">
        <v>8.67</v>
      </c>
      <c r="G72" s="24">
        <f t="shared" si="21"/>
        <v>800.03691058410993</v>
      </c>
      <c r="H72" s="46">
        <v>4.96</v>
      </c>
      <c r="I72" s="20">
        <v>0</v>
      </c>
      <c r="J72" s="22">
        <f>C146</f>
        <v>1.0763104079216446</v>
      </c>
      <c r="K72" s="24">
        <f t="shared" si="26"/>
        <v>460.83360000000005</v>
      </c>
      <c r="L72" s="27">
        <f t="shared" si="22"/>
        <v>-0.42398457633217984</v>
      </c>
      <c r="M72" s="28">
        <f t="shared" si="23"/>
        <v>-339.20331058410989</v>
      </c>
      <c r="N72" s="29">
        <v>8.67</v>
      </c>
      <c r="O72" s="30">
        <f t="shared" si="24"/>
        <v>4.335</v>
      </c>
      <c r="P72" s="33">
        <f t="shared" si="25"/>
        <v>-4.335</v>
      </c>
    </row>
    <row r="73" spans="1:16" x14ac:dyDescent="0.2">
      <c r="A73" s="32" t="s">
        <v>143</v>
      </c>
      <c r="B73" s="20" t="s">
        <v>144</v>
      </c>
      <c r="C73" s="21">
        <v>44672</v>
      </c>
      <c r="D73" s="20">
        <v>200</v>
      </c>
      <c r="E73" s="22">
        <v>1.4015</v>
      </c>
      <c r="F73" s="23">
        <v>4.03</v>
      </c>
      <c r="G73" s="24">
        <f t="shared" si="21"/>
        <v>575.09810916874778</v>
      </c>
      <c r="H73" s="46">
        <v>2.76</v>
      </c>
      <c r="I73" s="20">
        <v>0</v>
      </c>
      <c r="J73" s="22">
        <f>C147</f>
        <v>1.4797277300976621</v>
      </c>
      <c r="K73" s="24">
        <f t="shared" si="26"/>
        <v>373.04159999999996</v>
      </c>
      <c r="L73" s="27">
        <f t="shared" si="22"/>
        <v>-0.35134267692307702</v>
      </c>
      <c r="M73" s="28">
        <f t="shared" si="23"/>
        <v>-202.05650916874782</v>
      </c>
      <c r="N73" s="29">
        <v>4.58</v>
      </c>
      <c r="O73" s="30">
        <f t="shared" si="24"/>
        <v>2.29</v>
      </c>
      <c r="P73" s="33">
        <f t="shared" si="25"/>
        <v>-1.7400000000000002</v>
      </c>
    </row>
    <row r="74" spans="1:16" x14ac:dyDescent="0.2">
      <c r="A74" s="32" t="s">
        <v>145</v>
      </c>
      <c r="B74" s="20" t="s">
        <v>146</v>
      </c>
      <c r="C74" s="21">
        <v>44972</v>
      </c>
      <c r="D74" s="20">
        <v>200</v>
      </c>
      <c r="E74" s="22">
        <v>1.4331</v>
      </c>
      <c r="F74" s="23">
        <v>3.07</v>
      </c>
      <c r="G74" s="24">
        <f t="shared" si="21"/>
        <v>428.44183936919961</v>
      </c>
      <c r="H74" s="46">
        <f>'[1]auto data'!V17</f>
        <v>2.64</v>
      </c>
      <c r="I74" s="20">
        <v>0</v>
      </c>
      <c r="J74" s="22">
        <f>C147</f>
        <v>1.4797277300976621</v>
      </c>
      <c r="K74" s="24">
        <f>((H74+I74)/J74)*D74</f>
        <v>356.82239999999996</v>
      </c>
      <c r="L74" s="27">
        <f t="shared" si="22"/>
        <v>-0.16716257094462544</v>
      </c>
      <c r="M74" s="28">
        <f t="shared" si="23"/>
        <v>-71.619439369199654</v>
      </c>
      <c r="N74" s="29">
        <v>3.07</v>
      </c>
      <c r="O74" s="30">
        <f t="shared" si="24"/>
        <v>1.5349999999999999</v>
      </c>
      <c r="P74" s="33">
        <f t="shared" si="25"/>
        <v>-1.5349999999999999</v>
      </c>
    </row>
    <row r="75" spans="1:16" x14ac:dyDescent="0.2">
      <c r="A75" s="32" t="s">
        <v>147</v>
      </c>
      <c r="B75" s="20" t="s">
        <v>148</v>
      </c>
      <c r="C75" s="21">
        <v>45001</v>
      </c>
      <c r="D75" s="20">
        <v>2000</v>
      </c>
      <c r="E75" s="22">
        <v>1.5952</v>
      </c>
      <c r="F75" s="23">
        <v>0.12</v>
      </c>
      <c r="G75" s="24">
        <f t="shared" si="21"/>
        <v>150.45135406218657</v>
      </c>
      <c r="H75" s="46">
        <f>'[1]auto data'!V13</f>
        <v>0.13</v>
      </c>
      <c r="I75" s="20">
        <v>0</v>
      </c>
      <c r="J75" s="22">
        <f>C148</f>
        <v>1.6196954972465178</v>
      </c>
      <c r="K75" s="24">
        <f>((H75+I75)/J75)*D75</f>
        <v>160.524</v>
      </c>
      <c r="L75" s="35">
        <f t="shared" si="22"/>
        <v>6.6949519999999957E-2</v>
      </c>
      <c r="M75" s="28">
        <f t="shared" si="23"/>
        <v>10.072645937813434</v>
      </c>
      <c r="N75" s="29">
        <v>0.12</v>
      </c>
      <c r="O75" s="30">
        <f t="shared" si="24"/>
        <v>0.06</v>
      </c>
      <c r="P75" s="33">
        <f t="shared" si="25"/>
        <v>-0.06</v>
      </c>
    </row>
    <row r="76" spans="1:16" x14ac:dyDescent="0.2">
      <c r="A76" s="32" t="s">
        <v>149</v>
      </c>
      <c r="B76" s="20" t="s">
        <v>150</v>
      </c>
      <c r="C76" s="21">
        <v>45002</v>
      </c>
      <c r="D76" s="20">
        <v>200</v>
      </c>
      <c r="E76" s="22">
        <v>1.5935999999999999</v>
      </c>
      <c r="F76" s="23">
        <v>1.31</v>
      </c>
      <c r="G76" s="24">
        <f t="shared" si="21"/>
        <v>164.40763052208837</v>
      </c>
      <c r="H76" s="46">
        <f>'[1]auto data'!V14</f>
        <v>1.31</v>
      </c>
      <c r="I76" s="20">
        <v>0</v>
      </c>
      <c r="J76" s="22">
        <f>C148</f>
        <v>1.6196954972465178</v>
      </c>
      <c r="K76" s="24">
        <f>((H76+I76)/J76)*D76</f>
        <v>161.75879999999998</v>
      </c>
      <c r="L76" s="27">
        <f t="shared" si="22"/>
        <v>-1.6111360000000213E-2</v>
      </c>
      <c r="M76" s="28">
        <f t="shared" si="23"/>
        <v>-2.6488305220883888</v>
      </c>
      <c r="N76" s="29">
        <v>1.31</v>
      </c>
      <c r="O76" s="30">
        <f t="shared" si="24"/>
        <v>0.65500000000000003</v>
      </c>
      <c r="P76" s="33">
        <f t="shared" si="25"/>
        <v>-0.65500000000000003</v>
      </c>
    </row>
    <row r="77" spans="1:16" x14ac:dyDescent="0.2">
      <c r="A77" s="32" t="s">
        <v>151</v>
      </c>
      <c r="B77" s="20" t="s">
        <v>152</v>
      </c>
      <c r="C77" s="21">
        <v>45008</v>
      </c>
      <c r="D77" s="20">
        <v>100</v>
      </c>
      <c r="E77" s="22">
        <v>1.0867</v>
      </c>
      <c r="F77" s="23">
        <v>2.77</v>
      </c>
      <c r="G77" s="24">
        <f t="shared" si="21"/>
        <v>254.9001564369191</v>
      </c>
      <c r="H77" s="46">
        <f>'[1]auto data'!V9</f>
        <v>2.73</v>
      </c>
      <c r="I77" s="20">
        <v>0</v>
      </c>
      <c r="J77" s="22">
        <f>C146</f>
        <v>1.0763104079216446</v>
      </c>
      <c r="K77" s="24">
        <f>((H77+I77)/J77)*D77</f>
        <v>253.64430000000002</v>
      </c>
      <c r="L77" s="27">
        <f t="shared" si="22"/>
        <v>-4.9268562815883536E-3</v>
      </c>
      <c r="M77" s="28">
        <f t="shared" si="23"/>
        <v>-1.255856436919089</v>
      </c>
      <c r="N77" s="29">
        <v>2.79</v>
      </c>
      <c r="O77" s="30">
        <f t="shared" si="24"/>
        <v>1.395</v>
      </c>
      <c r="P77" s="33">
        <f t="shared" si="25"/>
        <v>-1.375</v>
      </c>
    </row>
    <row r="78" spans="1:16" x14ac:dyDescent="0.2">
      <c r="A78" s="2" t="s">
        <v>153</v>
      </c>
      <c r="B78" s="3"/>
      <c r="C78" s="3"/>
      <c r="D78" s="3"/>
      <c r="E78" s="3"/>
      <c r="F78" s="4"/>
      <c r="G78" s="5"/>
      <c r="H78" s="6"/>
      <c r="I78" s="6"/>
      <c r="J78" s="6"/>
      <c r="K78" s="7"/>
      <c r="L78" s="8" t="s">
        <v>1</v>
      </c>
      <c r="M78" s="9">
        <f>SUM(K80:K86)</f>
        <v>3125.06289809587</v>
      </c>
      <c r="N78" s="10"/>
      <c r="O78" s="11"/>
      <c r="P78" s="12">
        <f>M78/P152</f>
        <v>5.8931893997399058E-2</v>
      </c>
    </row>
    <row r="79" spans="1:16" x14ac:dyDescent="0.2">
      <c r="A79" s="13" t="s">
        <v>2</v>
      </c>
      <c r="B79" s="13" t="s">
        <v>3</v>
      </c>
      <c r="C79" s="14" t="s">
        <v>4</v>
      </c>
      <c r="D79" s="13" t="s">
        <v>5</v>
      </c>
      <c r="E79" s="15" t="s">
        <v>6</v>
      </c>
      <c r="F79" s="13" t="s">
        <v>7</v>
      </c>
      <c r="G79" s="13" t="s">
        <v>8</v>
      </c>
      <c r="H79" s="16" t="s">
        <v>9</v>
      </c>
      <c r="I79" s="13" t="s">
        <v>10</v>
      </c>
      <c r="J79" s="15" t="s">
        <v>11</v>
      </c>
      <c r="K79" s="13" t="s">
        <v>12</v>
      </c>
      <c r="L79" s="13" t="s">
        <v>13</v>
      </c>
      <c r="M79" s="17" t="s">
        <v>14</v>
      </c>
      <c r="N79" s="18" t="s">
        <v>15</v>
      </c>
      <c r="O79" s="19" t="s">
        <v>16</v>
      </c>
      <c r="P79" s="17" t="s">
        <v>17</v>
      </c>
    </row>
    <row r="80" spans="1:16" x14ac:dyDescent="0.2">
      <c r="A80" s="34" t="s">
        <v>154</v>
      </c>
      <c r="B80" s="20" t="s">
        <v>155</v>
      </c>
      <c r="C80" s="21">
        <v>44187</v>
      </c>
      <c r="D80" s="20">
        <v>1000</v>
      </c>
      <c r="E80" s="22">
        <v>1.407</v>
      </c>
      <c r="F80" s="26">
        <v>2.19</v>
      </c>
      <c r="G80" s="24">
        <f t="shared" ref="G80:G86" si="27">(F80*D80)/E80</f>
        <v>1556.503198294243</v>
      </c>
      <c r="H80" s="48">
        <v>1.43</v>
      </c>
      <c r="I80" s="20">
        <v>0</v>
      </c>
      <c r="J80" s="22">
        <f>C147</f>
        <v>1.4797277300976621</v>
      </c>
      <c r="K80" s="24">
        <f t="shared" ref="K80:K86" si="28">((H80+I80)/J80)*D80</f>
        <v>966.39399999999989</v>
      </c>
      <c r="L80" s="27">
        <f t="shared" ref="L80:L86" si="29">(K80-G80)/G80</f>
        <v>-0.37912495068493157</v>
      </c>
      <c r="M80" s="28">
        <f t="shared" ref="M80:M86" si="30">K80-G80</f>
        <v>-590.10919829424313</v>
      </c>
      <c r="N80" s="29">
        <v>2.54</v>
      </c>
      <c r="O80" s="30">
        <f>(N80+I80)*0.5</f>
        <v>1.27</v>
      </c>
      <c r="P80" s="33">
        <f t="shared" ref="P80:P86" si="31">O80-F80</f>
        <v>-0.91999999999999993</v>
      </c>
    </row>
    <row r="81" spans="1:16" x14ac:dyDescent="0.2">
      <c r="A81" s="20" t="s">
        <v>156</v>
      </c>
      <c r="B81" s="20" t="s">
        <v>157</v>
      </c>
      <c r="C81" s="21">
        <v>44246</v>
      </c>
      <c r="D81" s="20">
        <v>1000</v>
      </c>
      <c r="E81" s="22">
        <v>1.54</v>
      </c>
      <c r="F81" s="26">
        <v>0.34</v>
      </c>
      <c r="G81" s="24">
        <f t="shared" si="27"/>
        <v>220.77922077922076</v>
      </c>
      <c r="H81" s="48">
        <v>0.315</v>
      </c>
      <c r="I81" s="20">
        <v>0</v>
      </c>
      <c r="J81" s="22">
        <f>C147</f>
        <v>1.4797277300976621</v>
      </c>
      <c r="K81" s="24">
        <f t="shared" si="28"/>
        <v>212.87699999999998</v>
      </c>
      <c r="L81" s="27">
        <f t="shared" si="29"/>
        <v>-3.5792411764705906E-2</v>
      </c>
      <c r="M81" s="28">
        <f t="shared" si="30"/>
        <v>-7.9022207792207837</v>
      </c>
      <c r="N81" s="29">
        <v>0.4</v>
      </c>
      <c r="O81" s="30">
        <f t="shared" ref="O81:O86" si="32">(N81+I81)*0.33</f>
        <v>0.13200000000000001</v>
      </c>
      <c r="P81" s="33">
        <f t="shared" si="31"/>
        <v>-0.20800000000000002</v>
      </c>
    </row>
    <row r="82" spans="1:16" x14ac:dyDescent="0.2">
      <c r="A82" s="20" t="s">
        <v>158</v>
      </c>
      <c r="B82" s="20" t="s">
        <v>159</v>
      </c>
      <c r="C82" s="21">
        <v>44552</v>
      </c>
      <c r="D82" s="20">
        <v>2000</v>
      </c>
      <c r="E82" s="22">
        <v>1.4006000000000001</v>
      </c>
      <c r="F82" s="26">
        <v>0.15375</v>
      </c>
      <c r="G82" s="24">
        <f t="shared" si="27"/>
        <v>219.54876481507924</v>
      </c>
      <c r="H82" s="48">
        <v>0.18</v>
      </c>
      <c r="I82" s="20">
        <v>0</v>
      </c>
      <c r="J82" s="22">
        <v>1.4311</v>
      </c>
      <c r="K82" s="24">
        <f t="shared" si="28"/>
        <v>251.55474809587031</v>
      </c>
      <c r="L82" s="35">
        <f t="shared" si="29"/>
        <v>0.1457807485628487</v>
      </c>
      <c r="M82" s="28">
        <f t="shared" si="30"/>
        <v>32.005983280791071</v>
      </c>
      <c r="N82" s="29">
        <v>0.2</v>
      </c>
      <c r="O82" s="30">
        <f t="shared" si="32"/>
        <v>6.6000000000000003E-2</v>
      </c>
      <c r="P82" s="33">
        <f t="shared" si="31"/>
        <v>-8.7749999999999995E-2</v>
      </c>
    </row>
    <row r="83" spans="1:16" x14ac:dyDescent="0.2">
      <c r="A83" s="20" t="s">
        <v>160</v>
      </c>
      <c r="B83" s="20" t="s">
        <v>161</v>
      </c>
      <c r="C83" s="21">
        <v>44552</v>
      </c>
      <c r="D83" s="20">
        <v>100</v>
      </c>
      <c r="E83" s="22">
        <v>0.8488</v>
      </c>
      <c r="F83" s="26">
        <v>3.89</v>
      </c>
      <c r="G83" s="24">
        <f t="shared" si="27"/>
        <v>458.29406220546656</v>
      </c>
      <c r="H83" s="48">
        <f>'[1]auto data'!S6/100</f>
        <v>3.5150000000000001</v>
      </c>
      <c r="I83" s="26">
        <f>[1]Dividend!P27/100</f>
        <v>0.03</v>
      </c>
      <c r="J83" s="22">
        <f>C149</f>
        <v>0.88004928275983452</v>
      </c>
      <c r="K83" s="24">
        <f t="shared" si="28"/>
        <v>402.81835000000001</v>
      </c>
      <c r="L83" s="27">
        <f t="shared" si="29"/>
        <v>-0.12104828925449873</v>
      </c>
      <c r="M83" s="28">
        <f t="shared" si="30"/>
        <v>-55.47571220546655</v>
      </c>
      <c r="N83" s="49">
        <v>408</v>
      </c>
      <c r="O83" s="50">
        <f t="shared" si="32"/>
        <v>134.6499</v>
      </c>
      <c r="P83" s="33">
        <f t="shared" si="31"/>
        <v>130.75990000000002</v>
      </c>
    </row>
    <row r="84" spans="1:16" x14ac:dyDescent="0.2">
      <c r="A84" s="34" t="s">
        <v>162</v>
      </c>
      <c r="B84" s="20" t="s">
        <v>163</v>
      </c>
      <c r="C84" s="21">
        <v>44559</v>
      </c>
      <c r="D84" s="20">
        <v>400</v>
      </c>
      <c r="E84" s="22">
        <v>1.1322000000000001</v>
      </c>
      <c r="F84" s="26">
        <v>1.36</v>
      </c>
      <c r="G84" s="24">
        <f t="shared" si="27"/>
        <v>480.48048048048042</v>
      </c>
      <c r="H84" s="48">
        <v>0.7</v>
      </c>
      <c r="I84" s="20">
        <v>0</v>
      </c>
      <c r="J84" s="22">
        <f>C146</f>
        <v>1.0763104079216446</v>
      </c>
      <c r="K84" s="24">
        <f t="shared" si="28"/>
        <v>260.14800000000002</v>
      </c>
      <c r="L84" s="27">
        <f t="shared" si="29"/>
        <v>-0.45856697499999988</v>
      </c>
      <c r="M84" s="28">
        <f t="shared" si="30"/>
        <v>-220.3324804804804</v>
      </c>
      <c r="N84" s="29">
        <v>1.73</v>
      </c>
      <c r="O84" s="30">
        <f t="shared" si="32"/>
        <v>0.57090000000000007</v>
      </c>
      <c r="P84" s="33">
        <f t="shared" si="31"/>
        <v>-0.78910000000000002</v>
      </c>
    </row>
    <row r="85" spans="1:16" x14ac:dyDescent="0.2">
      <c r="A85" s="20" t="s">
        <v>164</v>
      </c>
      <c r="B85" s="20" t="s">
        <v>165</v>
      </c>
      <c r="C85" s="21">
        <v>44722</v>
      </c>
      <c r="D85" s="20">
        <v>50</v>
      </c>
      <c r="E85" s="22">
        <v>1.3461000000000001</v>
      </c>
      <c r="F85" s="26">
        <v>19.48</v>
      </c>
      <c r="G85" s="24">
        <f t="shared" si="27"/>
        <v>723.57180001485767</v>
      </c>
      <c r="H85" s="48">
        <v>21.88</v>
      </c>
      <c r="I85" s="26">
        <f>[1]Dividend!P12</f>
        <v>0.24</v>
      </c>
      <c r="J85" s="22">
        <f>C147</f>
        <v>1.4797277300976621</v>
      </c>
      <c r="K85" s="24">
        <f t="shared" si="28"/>
        <v>747.43479999999988</v>
      </c>
      <c r="L85" s="35">
        <f t="shared" si="29"/>
        <v>3.2979449979466051E-2</v>
      </c>
      <c r="M85" s="28">
        <f t="shared" si="30"/>
        <v>23.86299998514221</v>
      </c>
      <c r="N85" s="29">
        <v>2.73</v>
      </c>
      <c r="O85" s="30">
        <f t="shared" si="32"/>
        <v>0.98009999999999997</v>
      </c>
      <c r="P85" s="33">
        <f t="shared" si="31"/>
        <v>-18.4999</v>
      </c>
    </row>
    <row r="86" spans="1:16" x14ac:dyDescent="0.2">
      <c r="A86" s="34" t="s">
        <v>166</v>
      </c>
      <c r="B86" s="20" t="s">
        <v>167</v>
      </c>
      <c r="C86" s="21">
        <v>44771</v>
      </c>
      <c r="D86" s="20">
        <v>2000</v>
      </c>
      <c r="E86" s="22">
        <v>1.3929</v>
      </c>
      <c r="F86" s="26">
        <v>0.215</v>
      </c>
      <c r="G86" s="24">
        <f t="shared" si="27"/>
        <v>308.70844999641037</v>
      </c>
      <c r="H86" s="48">
        <v>0.21</v>
      </c>
      <c r="I86" s="20">
        <v>0</v>
      </c>
      <c r="J86" s="22">
        <f>C147</f>
        <v>1.4797277300976621</v>
      </c>
      <c r="K86" s="24">
        <f t="shared" si="28"/>
        <v>283.83599999999996</v>
      </c>
      <c r="L86" s="27">
        <f t="shared" si="29"/>
        <v>-8.0569385116279216E-2</v>
      </c>
      <c r="M86" s="28">
        <f t="shared" si="30"/>
        <v>-24.87244999641041</v>
      </c>
      <c r="N86" s="29">
        <v>0.24</v>
      </c>
      <c r="O86" s="30">
        <f t="shared" si="32"/>
        <v>7.9200000000000007E-2</v>
      </c>
      <c r="P86" s="33">
        <f t="shared" si="31"/>
        <v>-0.13579999999999998</v>
      </c>
    </row>
    <row r="87" spans="1:16" x14ac:dyDescent="0.2">
      <c r="A87" s="2" t="s">
        <v>168</v>
      </c>
      <c r="B87" s="3"/>
      <c r="C87" s="3"/>
      <c r="D87" s="3"/>
      <c r="E87" s="3"/>
      <c r="F87" s="4"/>
      <c r="G87" s="51"/>
      <c r="H87" s="52"/>
      <c r="I87" s="52"/>
      <c r="J87" s="52"/>
      <c r="K87" s="53"/>
      <c r="L87" s="8" t="s">
        <v>1</v>
      </c>
      <c r="M87" s="9">
        <f>SUM(K89:K90)</f>
        <v>971.8065418000001</v>
      </c>
      <c r="N87" s="10"/>
      <c r="O87" s="11"/>
      <c r="P87" s="12">
        <f>M87/E155</f>
        <v>1.0075219753626472E-2</v>
      </c>
    </row>
    <row r="88" spans="1:16" x14ac:dyDescent="0.2">
      <c r="A88" s="13" t="s">
        <v>2</v>
      </c>
      <c r="B88" s="13" t="s">
        <v>3</v>
      </c>
      <c r="C88" s="14" t="s">
        <v>4</v>
      </c>
      <c r="D88" s="13" t="s">
        <v>5</v>
      </c>
      <c r="E88" s="15" t="s">
        <v>6</v>
      </c>
      <c r="F88" s="13" t="s">
        <v>7</v>
      </c>
      <c r="G88" s="13" t="s">
        <v>8</v>
      </c>
      <c r="H88" s="16" t="s">
        <v>9</v>
      </c>
      <c r="I88" s="13" t="s">
        <v>10</v>
      </c>
      <c r="J88" s="15" t="s">
        <v>11</v>
      </c>
      <c r="K88" s="13" t="s">
        <v>12</v>
      </c>
      <c r="L88" s="13" t="s">
        <v>13</v>
      </c>
      <c r="M88" s="17" t="s">
        <v>14</v>
      </c>
      <c r="N88" s="18"/>
      <c r="O88" s="19"/>
      <c r="P88" s="17"/>
    </row>
    <row r="89" spans="1:16" x14ac:dyDescent="0.2">
      <c r="A89" s="20" t="s">
        <v>169</v>
      </c>
      <c r="B89" s="20" t="s">
        <v>170</v>
      </c>
      <c r="C89" s="21">
        <v>44670</v>
      </c>
      <c r="D89" s="20">
        <v>9500</v>
      </c>
      <c r="E89" s="22">
        <v>1</v>
      </c>
      <c r="F89" s="26">
        <v>0.38</v>
      </c>
      <c r="G89" s="24">
        <f>((F89*D89)/E89)-110</f>
        <v>3500</v>
      </c>
      <c r="H89" s="54">
        <v>6.2859999999999999E-2</v>
      </c>
      <c r="I89" s="55">
        <f>107.78+41.35*31</f>
        <v>1389.63</v>
      </c>
      <c r="J89" s="22">
        <v>1</v>
      </c>
      <c r="K89" s="24">
        <f>((H89)/J89)*(D89+I89)</f>
        <v>684.5221418000001</v>
      </c>
      <c r="L89" s="27">
        <f>(K89-G89)/G89</f>
        <v>-0.80442224519999994</v>
      </c>
      <c r="M89" s="28">
        <f>K89-G89</f>
        <v>-2815.4778581999999</v>
      </c>
      <c r="N89" s="41"/>
      <c r="O89" s="30"/>
      <c r="P89" s="33"/>
    </row>
    <row r="90" spans="1:16" x14ac:dyDescent="0.2">
      <c r="A90" s="20" t="s">
        <v>171</v>
      </c>
      <c r="B90" s="20" t="s">
        <v>172</v>
      </c>
      <c r="C90" s="21">
        <v>44807</v>
      </c>
      <c r="D90" s="20">
        <v>50</v>
      </c>
      <c r="E90" s="22">
        <v>1</v>
      </c>
      <c r="F90" s="26">
        <v>7.25</v>
      </c>
      <c r="G90" s="24">
        <f>((F90*D90)/E90)</f>
        <v>362.5</v>
      </c>
      <c r="H90" s="54">
        <v>5.47</v>
      </c>
      <c r="I90" s="55">
        <f>0.12*21</f>
        <v>2.52</v>
      </c>
      <c r="J90" s="22">
        <v>1</v>
      </c>
      <c r="K90" s="24">
        <f>((H90)/J90)*(D90+I90)</f>
        <v>287.28440000000001</v>
      </c>
      <c r="L90" s="27">
        <f>(K90-G90)/G90</f>
        <v>-0.20749131034482757</v>
      </c>
      <c r="M90" s="28">
        <f>K90-G90</f>
        <v>-75.215599999999995</v>
      </c>
      <c r="N90" s="41"/>
      <c r="O90" s="30"/>
      <c r="P90" s="33"/>
    </row>
    <row r="91" spans="1:16" x14ac:dyDescent="0.2">
      <c r="A91" s="2" t="s">
        <v>173</v>
      </c>
      <c r="B91" s="3"/>
      <c r="C91" s="3"/>
      <c r="D91" s="3"/>
      <c r="E91" s="3"/>
      <c r="F91" s="4"/>
      <c r="G91" s="5"/>
      <c r="H91" s="6"/>
      <c r="I91" s="6"/>
      <c r="J91" s="6"/>
      <c r="K91" s="7"/>
      <c r="L91" s="8" t="s">
        <v>1</v>
      </c>
      <c r="M91" s="9">
        <f>SUM(K92:K135)</f>
        <v>7700.1334982373028</v>
      </c>
      <c r="N91" s="10"/>
      <c r="O91" s="11"/>
      <c r="P91" s="12">
        <f>M91/P152</f>
        <v>0.14520778169310986</v>
      </c>
    </row>
    <row r="92" spans="1:16" x14ac:dyDescent="0.2">
      <c r="A92" s="56" t="s">
        <v>174</v>
      </c>
      <c r="B92" s="56" t="s">
        <v>49</v>
      </c>
      <c r="C92" s="57">
        <v>43187</v>
      </c>
      <c r="D92" s="20">
        <v>22</v>
      </c>
      <c r="E92" s="22">
        <v>1.24</v>
      </c>
      <c r="F92" s="58">
        <v>12.22</v>
      </c>
      <c r="G92" s="24">
        <f>(F92*D92)/E92</f>
        <v>216.80645161290326</v>
      </c>
      <c r="H92" s="46">
        <f>'[1]auto data'!J14</f>
        <v>6.55</v>
      </c>
      <c r="I92" s="26">
        <v>0</v>
      </c>
      <c r="J92" s="22">
        <f>C146</f>
        <v>1.0763104079216446</v>
      </c>
      <c r="K92" s="24">
        <f>((H92+I92)/J92)*D92</f>
        <v>133.88330999999999</v>
      </c>
      <c r="L92" s="35">
        <f t="shared" ref="L92:L102" si="33">(K92-G92)/G92+1</f>
        <v>0.61752456628477892</v>
      </c>
      <c r="M92" s="59"/>
      <c r="N92" s="60"/>
      <c r="O92" s="61" t="s">
        <v>175</v>
      </c>
      <c r="P92" s="62">
        <v>3</v>
      </c>
    </row>
    <row r="93" spans="1:16" x14ac:dyDescent="0.2">
      <c r="A93" s="56" t="s">
        <v>176</v>
      </c>
      <c r="B93" s="20" t="s">
        <v>49</v>
      </c>
      <c r="C93" s="21">
        <v>44747</v>
      </c>
      <c r="D93" s="20">
        <v>5</v>
      </c>
      <c r="E93" s="22">
        <v>1.0264</v>
      </c>
      <c r="F93" s="23">
        <v>6.63</v>
      </c>
      <c r="G93" s="24">
        <f>(F93*D93)/E93</f>
        <v>32.297349961028836</v>
      </c>
      <c r="H93" s="36">
        <f>'[1]auto data'!J14</f>
        <v>6.55</v>
      </c>
      <c r="I93" s="26">
        <v>0</v>
      </c>
      <c r="J93" s="22">
        <f>C146</f>
        <v>1.0763104079216446</v>
      </c>
      <c r="K93" s="24">
        <f>((H93+I93)/J93)*D93</f>
        <v>30.428025000000002</v>
      </c>
      <c r="L93" s="35">
        <f>(K93-G93)/G93</f>
        <v>-5.7878586425339232E-2</v>
      </c>
      <c r="M93" s="28"/>
      <c r="N93" s="60"/>
      <c r="O93" s="61" t="s">
        <v>175</v>
      </c>
      <c r="P93" s="62" t="s">
        <v>177</v>
      </c>
    </row>
    <row r="94" spans="1:16" x14ac:dyDescent="0.2">
      <c r="A94" s="56" t="s">
        <v>178</v>
      </c>
      <c r="B94" s="20" t="s">
        <v>49</v>
      </c>
      <c r="C94" s="21">
        <v>44985</v>
      </c>
      <c r="D94" s="20">
        <v>17</v>
      </c>
      <c r="E94" s="22">
        <v>1.0586</v>
      </c>
      <c r="F94" s="23">
        <v>6.08</v>
      </c>
      <c r="G94" s="24">
        <f t="shared" ref="G94:G116" si="34">(F94*D94)/E94</f>
        <v>97.638390326846775</v>
      </c>
      <c r="H94" s="36">
        <f>H93</f>
        <v>6.55</v>
      </c>
      <c r="I94" s="26">
        <v>0</v>
      </c>
      <c r="J94" s="22">
        <f>C146</f>
        <v>1.0763104079216446</v>
      </c>
      <c r="K94" s="24">
        <f t="shared" ref="K94:K119" si="35">((H94+I94)/J94)*D94</f>
        <v>103.455285</v>
      </c>
      <c r="L94" s="35">
        <f t="shared" ref="L94" si="36">(K94-G94)/G94</f>
        <v>5.9575896875000083E-2</v>
      </c>
      <c r="M94" s="28"/>
      <c r="N94" s="29"/>
      <c r="O94" s="61" t="s">
        <v>175</v>
      </c>
      <c r="P94" s="62" t="s">
        <v>179</v>
      </c>
    </row>
    <row r="95" spans="1:16" x14ac:dyDescent="0.2">
      <c r="A95" s="20" t="s">
        <v>180</v>
      </c>
      <c r="B95" s="20" t="s">
        <v>181</v>
      </c>
      <c r="C95" s="21">
        <v>43102</v>
      </c>
      <c r="D95" s="63">
        <v>8</v>
      </c>
      <c r="E95" s="64">
        <v>1.24</v>
      </c>
      <c r="F95" s="26">
        <v>150</v>
      </c>
      <c r="G95" s="24">
        <f t="shared" si="34"/>
        <v>967.74193548387098</v>
      </c>
      <c r="H95" s="46">
        <v>144.41999999999999</v>
      </c>
      <c r="I95" s="65">
        <f>[1]Dividend!P7</f>
        <v>5.7369999999999992</v>
      </c>
      <c r="J95" s="64">
        <f>C146</f>
        <v>1.0763104079216446</v>
      </c>
      <c r="K95" s="66">
        <f t="shared" si="35"/>
        <v>1116.0869495999998</v>
      </c>
      <c r="L95" s="35">
        <f t="shared" si="33"/>
        <v>1.1532898479199998</v>
      </c>
      <c r="M95" s="59"/>
      <c r="N95" s="60"/>
      <c r="O95" s="61" t="s">
        <v>175</v>
      </c>
      <c r="P95" s="62">
        <v>5</v>
      </c>
    </row>
    <row r="96" spans="1:16" x14ac:dyDescent="0.2">
      <c r="A96" s="20" t="s">
        <v>182</v>
      </c>
      <c r="B96" s="20" t="s">
        <v>19</v>
      </c>
      <c r="C96" s="21">
        <v>43102</v>
      </c>
      <c r="D96" s="63">
        <v>50</v>
      </c>
      <c r="E96" s="64">
        <v>1.24</v>
      </c>
      <c r="F96" s="20">
        <v>5.03</v>
      </c>
      <c r="G96" s="24">
        <f t="shared" si="34"/>
        <v>202.82258064516128</v>
      </c>
      <c r="H96" s="46">
        <f>'[1]auto data'!J3</f>
        <v>5.57</v>
      </c>
      <c r="I96" s="65">
        <f>I4</f>
        <v>8.2000000000000003E-2</v>
      </c>
      <c r="J96" s="64">
        <f>C146</f>
        <v>1.0763104079216446</v>
      </c>
      <c r="K96" s="67">
        <f t="shared" si="35"/>
        <v>262.56366000000003</v>
      </c>
      <c r="L96" s="35">
        <f t="shared" si="33"/>
        <v>1.2945484628230619</v>
      </c>
      <c r="M96" s="59"/>
      <c r="N96" s="60"/>
      <c r="O96" s="61" t="s">
        <v>175</v>
      </c>
      <c r="P96" s="62">
        <v>6</v>
      </c>
    </row>
    <row r="97" spans="1:16" x14ac:dyDescent="0.2">
      <c r="A97" s="20" t="s">
        <v>183</v>
      </c>
      <c r="B97" s="20" t="s">
        <v>19</v>
      </c>
      <c r="C97" s="21">
        <v>44726</v>
      </c>
      <c r="D97" s="20">
        <v>5</v>
      </c>
      <c r="E97" s="22">
        <v>1.0409999999999999</v>
      </c>
      <c r="F97" s="23">
        <v>6.0750000000000002</v>
      </c>
      <c r="G97" s="24">
        <f t="shared" si="34"/>
        <v>29.178674351585016</v>
      </c>
      <c r="H97" s="25">
        <f>'[1]auto data'!J3</f>
        <v>5.57</v>
      </c>
      <c r="I97" s="26">
        <f>I5</f>
        <v>0.05</v>
      </c>
      <c r="J97" s="22">
        <f>C146</f>
        <v>1.0763104079216446</v>
      </c>
      <c r="K97" s="24">
        <f>((H97+I97)/J97)*D97</f>
        <v>26.107710000000001</v>
      </c>
      <c r="L97" s="35">
        <f>(K97-G97)/G97</f>
        <v>-0.10524687703703706</v>
      </c>
      <c r="M97" s="28"/>
      <c r="N97" s="60"/>
      <c r="O97" s="61" t="s">
        <v>175</v>
      </c>
      <c r="P97" s="62" t="s">
        <v>184</v>
      </c>
    </row>
    <row r="98" spans="1:16" x14ac:dyDescent="0.2">
      <c r="A98" s="20" t="s">
        <v>185</v>
      </c>
      <c r="B98" s="20" t="s">
        <v>19</v>
      </c>
      <c r="C98" s="21">
        <v>44735</v>
      </c>
      <c r="D98" s="20">
        <v>7</v>
      </c>
      <c r="E98" s="22">
        <v>1.0550999999999999</v>
      </c>
      <c r="F98" s="23">
        <v>5.98</v>
      </c>
      <c r="G98" s="24">
        <f t="shared" si="34"/>
        <v>39.673964553122929</v>
      </c>
      <c r="H98" s="25">
        <f>'[1]auto data'!J3</f>
        <v>5.57</v>
      </c>
      <c r="I98" s="26">
        <f>I97</f>
        <v>0.05</v>
      </c>
      <c r="J98" s="22">
        <f>C146</f>
        <v>1.0763104079216446</v>
      </c>
      <c r="K98" s="24">
        <f>((H98+I98)/J98)*D98</f>
        <v>36.550794000000003</v>
      </c>
      <c r="L98" s="35">
        <f>(K98-G98)/G98</f>
        <v>-7.8720908996655473E-2</v>
      </c>
      <c r="M98" s="28"/>
      <c r="N98" s="60"/>
      <c r="O98" s="61" t="s">
        <v>175</v>
      </c>
      <c r="P98" s="62" t="s">
        <v>186</v>
      </c>
    </row>
    <row r="99" spans="1:16" x14ac:dyDescent="0.2">
      <c r="A99" s="20" t="s">
        <v>187</v>
      </c>
      <c r="B99" s="20" t="s">
        <v>19</v>
      </c>
      <c r="C99" s="21">
        <v>44806</v>
      </c>
      <c r="D99" s="20">
        <v>10</v>
      </c>
      <c r="E99" s="22">
        <v>0.99550000000000005</v>
      </c>
      <c r="F99" s="23">
        <v>5.4</v>
      </c>
      <c r="G99" s="24">
        <f t="shared" si="34"/>
        <v>54.244098442993469</v>
      </c>
      <c r="H99" s="25">
        <f>'[1]auto data'!J3</f>
        <v>5.57</v>
      </c>
      <c r="I99" s="26">
        <f>I98</f>
        <v>0.05</v>
      </c>
      <c r="J99" s="22">
        <f>C146</f>
        <v>1.0763104079216446</v>
      </c>
      <c r="K99" s="24">
        <f>((H99+I99)/J99)*D99</f>
        <v>52.215420000000002</v>
      </c>
      <c r="L99" s="35">
        <f>(K99-G99)/G99</f>
        <v>-3.7399062777777714E-2</v>
      </c>
      <c r="M99" s="28"/>
      <c r="N99" s="60"/>
      <c r="O99" s="61" t="s">
        <v>175</v>
      </c>
      <c r="P99" s="62" t="s">
        <v>188</v>
      </c>
    </row>
    <row r="100" spans="1:16" x14ac:dyDescent="0.2">
      <c r="A100" s="20" t="s">
        <v>189</v>
      </c>
      <c r="B100" s="20" t="s">
        <v>19</v>
      </c>
      <c r="C100" s="21">
        <v>44979</v>
      </c>
      <c r="D100" s="20">
        <v>16</v>
      </c>
      <c r="E100" s="22">
        <v>1.0625</v>
      </c>
      <c r="F100" s="23">
        <v>4.8499999999999996</v>
      </c>
      <c r="G100" s="24">
        <f t="shared" si="34"/>
        <v>73.035294117647055</v>
      </c>
      <c r="H100" s="25">
        <f>H99</f>
        <v>5.57</v>
      </c>
      <c r="I100" s="26">
        <v>0</v>
      </c>
      <c r="J100" s="22">
        <f>C146</f>
        <v>1.0763104079216446</v>
      </c>
      <c r="K100" s="24">
        <f>((H100+I100)/J100)*D100</f>
        <v>82.801392000000007</v>
      </c>
      <c r="L100" s="35">
        <f>(K100-G100)/G100</f>
        <v>0.13371751288659808</v>
      </c>
      <c r="M100" s="28"/>
      <c r="N100" s="60"/>
      <c r="O100" s="61" t="s">
        <v>175</v>
      </c>
      <c r="P100" s="62" t="s">
        <v>190</v>
      </c>
    </row>
    <row r="101" spans="1:16" x14ac:dyDescent="0.2">
      <c r="A101" s="20" t="s">
        <v>191</v>
      </c>
      <c r="B101" s="20" t="s">
        <v>38</v>
      </c>
      <c r="C101" s="21">
        <v>43683</v>
      </c>
      <c r="D101" s="63">
        <v>33</v>
      </c>
      <c r="E101" s="64">
        <v>1.49</v>
      </c>
      <c r="F101" s="20">
        <v>4.6399999999999997</v>
      </c>
      <c r="G101" s="24">
        <f t="shared" si="34"/>
        <v>102.76510067114093</v>
      </c>
      <c r="H101" s="46">
        <f>'[1]auto data'!J10</f>
        <v>5.15</v>
      </c>
      <c r="I101" s="65">
        <v>0</v>
      </c>
      <c r="J101" s="64">
        <f>C147</f>
        <v>1.4797277300976621</v>
      </c>
      <c r="K101" s="67">
        <f t="shared" si="35"/>
        <v>114.85221</v>
      </c>
      <c r="L101" s="35">
        <f t="shared" si="33"/>
        <v>1.1176188146551724</v>
      </c>
      <c r="M101" s="59"/>
      <c r="N101" s="60"/>
      <c r="O101" s="61" t="s">
        <v>175</v>
      </c>
      <c r="P101" s="62">
        <v>7</v>
      </c>
    </row>
    <row r="102" spans="1:16" x14ac:dyDescent="0.2">
      <c r="A102" s="20" t="s">
        <v>192</v>
      </c>
      <c r="B102" s="20" t="s">
        <v>193</v>
      </c>
      <c r="C102" s="21">
        <v>43994</v>
      </c>
      <c r="D102" s="20">
        <v>45</v>
      </c>
      <c r="E102" s="22">
        <v>1.1255999999999999</v>
      </c>
      <c r="F102" s="23">
        <v>5</v>
      </c>
      <c r="G102" s="24">
        <f t="shared" si="34"/>
        <v>199.89339019189768</v>
      </c>
      <c r="H102" s="40">
        <v>3.3</v>
      </c>
      <c r="I102" s="20">
        <v>0</v>
      </c>
      <c r="J102" s="22">
        <f>C146</f>
        <v>1.0763104079216446</v>
      </c>
      <c r="K102" s="24">
        <f t="shared" si="35"/>
        <v>137.97135</v>
      </c>
      <c r="L102" s="35">
        <f t="shared" si="33"/>
        <v>0.69022467359999995</v>
      </c>
      <c r="M102" s="59"/>
      <c r="N102" s="60"/>
      <c r="O102" s="30" t="s">
        <v>175</v>
      </c>
      <c r="P102" s="62">
        <v>8</v>
      </c>
    </row>
    <row r="103" spans="1:16" x14ac:dyDescent="0.2">
      <c r="A103" s="20" t="s">
        <v>194</v>
      </c>
      <c r="B103" s="20" t="s">
        <v>195</v>
      </c>
      <c r="C103" s="21">
        <v>44077</v>
      </c>
      <c r="D103" s="20">
        <v>350</v>
      </c>
      <c r="E103" s="22">
        <v>1.55</v>
      </c>
      <c r="F103" s="23">
        <v>0.48499999999999999</v>
      </c>
      <c r="G103" s="24">
        <f t="shared" si="34"/>
        <v>109.51612903225806</v>
      </c>
      <c r="H103" s="25">
        <v>0.14000000000000001</v>
      </c>
      <c r="I103" s="20">
        <v>0</v>
      </c>
      <c r="J103" s="22">
        <f>C147</f>
        <v>1.4797277300976621</v>
      </c>
      <c r="K103" s="24">
        <f t="shared" si="35"/>
        <v>33.114200000000004</v>
      </c>
      <c r="L103" s="35">
        <f>(K103-G103)/G103+1</f>
        <v>0.30236824742268043</v>
      </c>
      <c r="M103" s="59"/>
      <c r="N103" s="60"/>
      <c r="O103" s="68" t="s">
        <v>196</v>
      </c>
      <c r="P103" s="62">
        <v>1</v>
      </c>
    </row>
    <row r="104" spans="1:16" x14ac:dyDescent="0.2">
      <c r="A104" s="20" t="s">
        <v>197</v>
      </c>
      <c r="B104" s="20" t="s">
        <v>49</v>
      </c>
      <c r="C104" s="21">
        <v>44033</v>
      </c>
      <c r="D104" s="20">
        <v>39</v>
      </c>
      <c r="E104" s="22">
        <v>1.1000000000000001</v>
      </c>
      <c r="F104" s="23">
        <v>8.92</v>
      </c>
      <c r="G104" s="24">
        <f t="shared" si="34"/>
        <v>316.25454545454545</v>
      </c>
      <c r="H104" s="25">
        <f>'[1]auto data'!J14</f>
        <v>6.55</v>
      </c>
      <c r="I104" s="37">
        <v>0</v>
      </c>
      <c r="J104" s="20">
        <v>1.2079</v>
      </c>
      <c r="K104" s="24">
        <f t="shared" si="35"/>
        <v>211.48273863730441</v>
      </c>
      <c r="L104" s="35">
        <f t="shared" ref="L104:L119" si="37">(K104-G104)/G104</f>
        <v>-0.33128948918870055</v>
      </c>
      <c r="M104" s="59"/>
      <c r="N104" s="60"/>
      <c r="O104" s="30" t="s">
        <v>198</v>
      </c>
      <c r="P104" s="69">
        <v>8</v>
      </c>
    </row>
    <row r="105" spans="1:16" x14ac:dyDescent="0.2">
      <c r="A105" s="20" t="s">
        <v>199</v>
      </c>
      <c r="B105" s="20" t="s">
        <v>200</v>
      </c>
      <c r="C105" s="21">
        <v>43102</v>
      </c>
      <c r="D105" s="20">
        <v>275</v>
      </c>
      <c r="E105" s="22">
        <v>1.51</v>
      </c>
      <c r="F105" s="23">
        <v>2.1800000000000002</v>
      </c>
      <c r="G105" s="24">
        <f t="shared" si="34"/>
        <v>397.01986754966885</v>
      </c>
      <c r="H105" s="46">
        <v>4.9800000000000004</v>
      </c>
      <c r="I105" s="20">
        <v>0</v>
      </c>
      <c r="J105" s="22">
        <f>C147</f>
        <v>1.4797277300976621</v>
      </c>
      <c r="K105" s="24">
        <f t="shared" si="35"/>
        <v>925.50810000000001</v>
      </c>
      <c r="L105" s="35">
        <f t="shared" si="37"/>
        <v>1.3311380000000004</v>
      </c>
      <c r="M105" s="59"/>
      <c r="N105" s="60"/>
      <c r="O105" s="30" t="s">
        <v>201</v>
      </c>
      <c r="P105" s="62">
        <v>1</v>
      </c>
    </row>
    <row r="106" spans="1:16" x14ac:dyDescent="0.2">
      <c r="A106" s="20" t="s">
        <v>202</v>
      </c>
      <c r="B106" s="20" t="s">
        <v>203</v>
      </c>
      <c r="C106" s="21">
        <v>43822</v>
      </c>
      <c r="D106" s="20">
        <v>190</v>
      </c>
      <c r="E106" s="22">
        <v>1.51</v>
      </c>
      <c r="F106" s="23">
        <v>1.18</v>
      </c>
      <c r="G106" s="24">
        <f t="shared" si="34"/>
        <v>148.47682119205297</v>
      </c>
      <c r="H106" s="46">
        <f>'[1]auto data'!P13</f>
        <v>2.76</v>
      </c>
      <c r="I106" s="20">
        <v>0</v>
      </c>
      <c r="J106" s="22">
        <f>C147</f>
        <v>1.4797277300976621</v>
      </c>
      <c r="K106" s="24">
        <f t="shared" si="35"/>
        <v>354.38951999999995</v>
      </c>
      <c r="L106" s="35">
        <f t="shared" si="37"/>
        <v>1.3868339661016948</v>
      </c>
      <c r="M106" s="59"/>
      <c r="N106" s="60"/>
      <c r="O106" s="30" t="s">
        <v>201</v>
      </c>
      <c r="P106" s="62">
        <v>2</v>
      </c>
    </row>
    <row r="107" spans="1:16" x14ac:dyDescent="0.2">
      <c r="A107" s="20" t="s">
        <v>204</v>
      </c>
      <c r="B107" s="20" t="s">
        <v>144</v>
      </c>
      <c r="C107" s="21">
        <v>44550</v>
      </c>
      <c r="D107" s="20">
        <v>26</v>
      </c>
      <c r="E107" s="22">
        <v>1.3149999999999999</v>
      </c>
      <c r="F107" s="23">
        <v>4.2699999999999996</v>
      </c>
      <c r="G107" s="24">
        <f t="shared" si="34"/>
        <v>84.42585551330798</v>
      </c>
      <c r="H107" s="46">
        <f>'[1]auto data'!P13</f>
        <v>2.76</v>
      </c>
      <c r="I107" s="20">
        <v>0</v>
      </c>
      <c r="J107" s="22">
        <f>C147</f>
        <v>1.4797277300976621</v>
      </c>
      <c r="K107" s="24">
        <f t="shared" si="35"/>
        <v>48.495407999999991</v>
      </c>
      <c r="L107" s="35">
        <f t="shared" si="37"/>
        <v>-0.42558582669789236</v>
      </c>
      <c r="M107" s="28"/>
      <c r="N107" s="29"/>
      <c r="O107" s="30" t="s">
        <v>201</v>
      </c>
      <c r="P107" s="62" t="s">
        <v>205</v>
      </c>
    </row>
    <row r="108" spans="1:16" x14ac:dyDescent="0.2">
      <c r="A108" s="20" t="s">
        <v>206</v>
      </c>
      <c r="B108" s="20" t="s">
        <v>144</v>
      </c>
      <c r="C108" s="21">
        <v>44699</v>
      </c>
      <c r="D108" s="20">
        <v>7</v>
      </c>
      <c r="E108" s="22">
        <v>1.3472999999999999</v>
      </c>
      <c r="F108" s="23">
        <v>3.58</v>
      </c>
      <c r="G108" s="24">
        <f t="shared" si="34"/>
        <v>18.600163289542049</v>
      </c>
      <c r="H108" s="46">
        <f>'[1]auto data'!P13</f>
        <v>2.76</v>
      </c>
      <c r="I108" s="20">
        <v>0</v>
      </c>
      <c r="J108" s="22">
        <f>C147</f>
        <v>1.4797277300976621</v>
      </c>
      <c r="K108" s="24">
        <f>((H108+I108)/J108)*D108</f>
        <v>13.056455999999999</v>
      </c>
      <c r="L108" s="35">
        <f>(K108-G108)/G108</f>
        <v>-0.29804616245810067</v>
      </c>
      <c r="M108" s="28"/>
      <c r="N108" s="29"/>
      <c r="O108" s="30" t="s">
        <v>201</v>
      </c>
      <c r="P108" s="62" t="s">
        <v>207</v>
      </c>
    </row>
    <row r="109" spans="1:16" x14ac:dyDescent="0.2">
      <c r="A109" s="20" t="s">
        <v>208</v>
      </c>
      <c r="B109" s="20" t="s">
        <v>209</v>
      </c>
      <c r="C109" s="21">
        <v>43374</v>
      </c>
      <c r="D109" s="20">
        <v>700</v>
      </c>
      <c r="E109" s="22">
        <v>1.1499999999999999</v>
      </c>
      <c r="F109" s="23">
        <v>0.66</v>
      </c>
      <c r="G109" s="24">
        <f t="shared" si="34"/>
        <v>401.73913043478262</v>
      </c>
      <c r="H109" s="46">
        <v>0.85699999999999998</v>
      </c>
      <c r="I109" s="20">
        <v>0</v>
      </c>
      <c r="J109" s="22">
        <f>C146</f>
        <v>1.0763104079216446</v>
      </c>
      <c r="K109" s="24">
        <f t="shared" si="35"/>
        <v>557.36708999999996</v>
      </c>
      <c r="L109" s="35">
        <f t="shared" si="37"/>
        <v>0.38738561363636348</v>
      </c>
      <c r="M109" s="59"/>
      <c r="N109" s="60"/>
      <c r="O109" s="30" t="s">
        <v>201</v>
      </c>
      <c r="P109" s="62">
        <v>3</v>
      </c>
    </row>
    <row r="110" spans="1:16" x14ac:dyDescent="0.2">
      <c r="A110" s="20" t="s">
        <v>210</v>
      </c>
      <c r="B110" s="20" t="s">
        <v>209</v>
      </c>
      <c r="C110" s="21">
        <v>44586</v>
      </c>
      <c r="D110" s="20">
        <v>170</v>
      </c>
      <c r="E110" s="22">
        <v>1.1324000000000001</v>
      </c>
      <c r="F110" s="23">
        <v>1.1000000000000001</v>
      </c>
      <c r="G110" s="24">
        <f t="shared" si="34"/>
        <v>165.13599434828683</v>
      </c>
      <c r="H110" s="46">
        <f>'[1]auto data'!V7</f>
        <v>0.85699999999999998</v>
      </c>
      <c r="I110" s="20">
        <v>0</v>
      </c>
      <c r="J110" s="22">
        <f>C146</f>
        <v>1.0763104079216446</v>
      </c>
      <c r="K110" s="24">
        <f t="shared" si="35"/>
        <v>135.360579</v>
      </c>
      <c r="L110" s="35">
        <f t="shared" si="37"/>
        <v>-0.18030845101818183</v>
      </c>
      <c r="M110" s="28"/>
      <c r="N110" s="29"/>
      <c r="O110" s="30" t="s">
        <v>201</v>
      </c>
      <c r="P110" s="70" t="s">
        <v>177</v>
      </c>
    </row>
    <row r="111" spans="1:16" x14ac:dyDescent="0.2">
      <c r="A111" s="20" t="s">
        <v>211</v>
      </c>
      <c r="B111" s="20" t="s">
        <v>212</v>
      </c>
      <c r="C111" s="21">
        <v>43854</v>
      </c>
      <c r="D111" s="20">
        <v>50</v>
      </c>
      <c r="E111" s="22">
        <v>1.46</v>
      </c>
      <c r="F111" s="20">
        <v>3.71</v>
      </c>
      <c r="G111" s="24">
        <f t="shared" si="34"/>
        <v>127.05479452054794</v>
      </c>
      <c r="H111" s="46">
        <v>11.41</v>
      </c>
      <c r="I111" s="20">
        <v>0</v>
      </c>
      <c r="J111" s="22">
        <f>C147</f>
        <v>1.4797277300976621</v>
      </c>
      <c r="K111" s="24">
        <f t="shared" si="35"/>
        <v>385.54389999999995</v>
      </c>
      <c r="L111" s="35">
        <f t="shared" si="37"/>
        <v>2.0344695094339618</v>
      </c>
      <c r="M111" s="59"/>
      <c r="N111" s="60"/>
      <c r="O111" s="30" t="s">
        <v>213</v>
      </c>
      <c r="P111" s="69">
        <v>2</v>
      </c>
    </row>
    <row r="112" spans="1:16" x14ac:dyDescent="0.2">
      <c r="A112" s="20" t="s">
        <v>214</v>
      </c>
      <c r="B112" s="20" t="s">
        <v>152</v>
      </c>
      <c r="C112" s="21">
        <v>44229</v>
      </c>
      <c r="D112" s="20">
        <v>75</v>
      </c>
      <c r="E112" s="22">
        <v>1.2022999999999999</v>
      </c>
      <c r="F112" s="23">
        <v>1.74</v>
      </c>
      <c r="G112" s="24">
        <f t="shared" si="34"/>
        <v>108.54196124095485</v>
      </c>
      <c r="H112" s="46">
        <v>2.73</v>
      </c>
      <c r="I112" s="20">
        <v>0</v>
      </c>
      <c r="J112" s="22">
        <f>C146</f>
        <v>1.0763104079216446</v>
      </c>
      <c r="K112" s="24">
        <f t="shared" si="35"/>
        <v>190.233225</v>
      </c>
      <c r="L112" s="35">
        <f t="shared" si="37"/>
        <v>0.75262380396551709</v>
      </c>
      <c r="M112" s="28"/>
      <c r="N112" s="29"/>
      <c r="O112" s="30" t="s">
        <v>201</v>
      </c>
      <c r="P112" s="62">
        <v>4</v>
      </c>
    </row>
    <row r="113" spans="1:16" x14ac:dyDescent="0.2">
      <c r="A113" s="20" t="s">
        <v>215</v>
      </c>
      <c r="B113" s="20" t="s">
        <v>152</v>
      </c>
      <c r="C113" s="21">
        <v>44589</v>
      </c>
      <c r="D113" s="20">
        <v>50</v>
      </c>
      <c r="E113" s="22">
        <v>1.1152</v>
      </c>
      <c r="F113" s="71">
        <v>2.42</v>
      </c>
      <c r="G113" s="24">
        <f t="shared" si="34"/>
        <v>108.50071736011478</v>
      </c>
      <c r="H113" s="46">
        <f>'[1]auto data'!V9</f>
        <v>2.73</v>
      </c>
      <c r="I113" s="20">
        <v>0</v>
      </c>
      <c r="J113" s="22">
        <f>C146</f>
        <v>1.0763104079216446</v>
      </c>
      <c r="K113" s="24">
        <f t="shared" si="35"/>
        <v>126.82215000000001</v>
      </c>
      <c r="L113" s="72">
        <f t="shared" si="37"/>
        <v>0.16886001388429761</v>
      </c>
      <c r="M113" s="28"/>
      <c r="N113" s="29"/>
      <c r="O113" s="30" t="s">
        <v>201</v>
      </c>
      <c r="P113" s="62" t="s">
        <v>216</v>
      </c>
    </row>
    <row r="114" spans="1:16" x14ac:dyDescent="0.2">
      <c r="A114" s="20" t="s">
        <v>217</v>
      </c>
      <c r="B114" s="20" t="s">
        <v>152</v>
      </c>
      <c r="C114" s="21">
        <v>44690</v>
      </c>
      <c r="D114" s="20">
        <v>10</v>
      </c>
      <c r="E114" s="22">
        <v>1.0529999999999999</v>
      </c>
      <c r="F114" s="23">
        <v>3.62</v>
      </c>
      <c r="G114" s="24">
        <f t="shared" si="34"/>
        <v>34.377967711301046</v>
      </c>
      <c r="H114" s="46">
        <f>'[1]auto data'!V9</f>
        <v>2.73</v>
      </c>
      <c r="I114" s="20">
        <v>0</v>
      </c>
      <c r="J114" s="22">
        <f>C146</f>
        <v>1.0763104079216446</v>
      </c>
      <c r="K114" s="24">
        <f>((H114+I114)/J114)*D114</f>
        <v>25.364430000000002</v>
      </c>
      <c r="L114" s="35">
        <f t="shared" si="37"/>
        <v>-0.26218937044198892</v>
      </c>
      <c r="M114" s="28"/>
      <c r="N114" s="29"/>
      <c r="O114" s="30" t="s">
        <v>201</v>
      </c>
      <c r="P114" s="62" t="s">
        <v>218</v>
      </c>
    </row>
    <row r="115" spans="1:16" x14ac:dyDescent="0.2">
      <c r="A115" s="20" t="s">
        <v>219</v>
      </c>
      <c r="B115" s="20" t="s">
        <v>152</v>
      </c>
      <c r="C115" s="21">
        <v>44795</v>
      </c>
      <c r="D115" s="20">
        <v>18</v>
      </c>
      <c r="E115" s="22">
        <v>0.99419999999999997</v>
      </c>
      <c r="F115" s="23">
        <v>3.375</v>
      </c>
      <c r="G115" s="24">
        <f t="shared" si="34"/>
        <v>61.104405552202778</v>
      </c>
      <c r="H115" s="46">
        <f>'[1]auto data'!V9</f>
        <v>2.73</v>
      </c>
      <c r="I115" s="20">
        <v>0</v>
      </c>
      <c r="J115" s="22">
        <f>C146</f>
        <v>1.0763104079216446</v>
      </c>
      <c r="K115" s="24">
        <f>((H115+I115)/J115)*D115</f>
        <v>45.655974000000001</v>
      </c>
      <c r="L115" s="35">
        <f t="shared" si="37"/>
        <v>-0.25282025759999999</v>
      </c>
      <c r="M115" s="28"/>
      <c r="N115" s="29"/>
      <c r="O115" s="30" t="s">
        <v>201</v>
      </c>
      <c r="P115" s="62" t="s">
        <v>220</v>
      </c>
    </row>
    <row r="116" spans="1:16" x14ac:dyDescent="0.2">
      <c r="A116" s="20" t="s">
        <v>221</v>
      </c>
      <c r="B116" s="20" t="s">
        <v>152</v>
      </c>
      <c r="C116" s="21">
        <v>44673</v>
      </c>
      <c r="D116" s="20">
        <v>32</v>
      </c>
      <c r="E116" s="22">
        <v>1.0787</v>
      </c>
      <c r="F116" s="23">
        <v>4.62</v>
      </c>
      <c r="G116" s="24">
        <f t="shared" si="34"/>
        <v>137.05386112913692</v>
      </c>
      <c r="H116" s="46">
        <f>'[1]auto data'!V9</f>
        <v>2.73</v>
      </c>
      <c r="I116" s="20">
        <v>0</v>
      </c>
      <c r="J116" s="22">
        <f>C146</f>
        <v>1.0763104079216446</v>
      </c>
      <c r="K116" s="24">
        <f>((H116+I116)/J116)*D116</f>
        <v>81.166176000000007</v>
      </c>
      <c r="L116" s="35">
        <f t="shared" si="37"/>
        <v>-0.40777899045454535</v>
      </c>
      <c r="M116" s="28"/>
      <c r="N116" s="29"/>
      <c r="O116" s="30" t="s">
        <v>201</v>
      </c>
      <c r="P116" s="62" t="s">
        <v>222</v>
      </c>
    </row>
    <row r="117" spans="1:16" x14ac:dyDescent="0.2">
      <c r="A117" s="20" t="s">
        <v>223</v>
      </c>
      <c r="B117" s="20" t="s">
        <v>224</v>
      </c>
      <c r="C117" s="21">
        <v>43874</v>
      </c>
      <c r="D117" s="20">
        <v>300</v>
      </c>
      <c r="E117" s="22">
        <v>1.44</v>
      </c>
      <c r="F117" s="20">
        <v>0.37</v>
      </c>
      <c r="G117" s="24">
        <f>(F117*D117)/E117</f>
        <v>77.083333333333343</v>
      </c>
      <c r="H117" s="48">
        <f>'[1]auto data'!V10</f>
        <v>0.22</v>
      </c>
      <c r="I117" s="20">
        <v>0</v>
      </c>
      <c r="J117" s="22">
        <f>C147</f>
        <v>1.4797277300976621</v>
      </c>
      <c r="K117" s="24">
        <f t="shared" si="35"/>
        <v>44.602800000000002</v>
      </c>
      <c r="L117" s="35">
        <f t="shared" si="37"/>
        <v>-0.42136908108108112</v>
      </c>
      <c r="M117" s="28"/>
      <c r="N117" s="29"/>
      <c r="O117" s="30" t="s">
        <v>213</v>
      </c>
      <c r="P117" s="62">
        <v>3</v>
      </c>
    </row>
    <row r="118" spans="1:16" x14ac:dyDescent="0.2">
      <c r="A118" s="20" t="s">
        <v>225</v>
      </c>
      <c r="B118" s="20" t="s">
        <v>226</v>
      </c>
      <c r="C118" s="21">
        <v>44287</v>
      </c>
      <c r="D118" s="20">
        <v>750</v>
      </c>
      <c r="E118" s="22">
        <v>1.55</v>
      </c>
      <c r="F118" s="23">
        <v>0.37</v>
      </c>
      <c r="G118" s="24">
        <f t="shared" ref="G118:G135" si="38">(F118*D118)/E118</f>
        <v>179.03225806451613</v>
      </c>
      <c r="H118" s="46">
        <f>'[1]auto data'!V11</f>
        <v>0.56999999999999995</v>
      </c>
      <c r="I118" s="20">
        <v>0</v>
      </c>
      <c r="J118" s="22">
        <f>C148</f>
        <v>1.6196954972465178</v>
      </c>
      <c r="K118" s="24">
        <f t="shared" si="35"/>
        <v>263.93849999999998</v>
      </c>
      <c r="L118" s="35">
        <f t="shared" si="37"/>
        <v>0.47425108108108094</v>
      </c>
      <c r="M118" s="28"/>
      <c r="N118" s="29"/>
      <c r="O118" s="30" t="s">
        <v>201</v>
      </c>
      <c r="P118" s="62">
        <v>5</v>
      </c>
    </row>
    <row r="119" spans="1:16" x14ac:dyDescent="0.2">
      <c r="A119" s="20" t="s">
        <v>227</v>
      </c>
      <c r="B119" s="20" t="s">
        <v>228</v>
      </c>
      <c r="C119" s="21">
        <v>44229</v>
      </c>
      <c r="D119" s="20">
        <v>75</v>
      </c>
      <c r="E119" s="22">
        <v>1.55</v>
      </c>
      <c r="F119" s="23">
        <v>2</v>
      </c>
      <c r="G119" s="24">
        <f t="shared" si="38"/>
        <v>96.774193548387089</v>
      </c>
      <c r="H119" s="46">
        <f>'[1]auto data'!V12</f>
        <v>2.4700000000000002</v>
      </c>
      <c r="I119" s="20">
        <v>0</v>
      </c>
      <c r="J119" s="22">
        <f>C147</f>
        <v>1.4797277300976621</v>
      </c>
      <c r="K119" s="24">
        <f t="shared" si="35"/>
        <v>125.19195000000001</v>
      </c>
      <c r="L119" s="35">
        <f t="shared" si="37"/>
        <v>0.29365015000000017</v>
      </c>
      <c r="M119" s="28"/>
      <c r="N119" s="29"/>
      <c r="O119" s="30" t="s">
        <v>201</v>
      </c>
      <c r="P119" s="62">
        <v>6</v>
      </c>
    </row>
    <row r="120" spans="1:16" x14ac:dyDescent="0.2">
      <c r="A120" s="20" t="s">
        <v>229</v>
      </c>
      <c r="B120" s="20" t="s">
        <v>148</v>
      </c>
      <c r="C120" s="21">
        <v>44321</v>
      </c>
      <c r="D120" s="20">
        <v>2000</v>
      </c>
      <c r="E120" s="22">
        <v>1.5603</v>
      </c>
      <c r="F120" s="23">
        <v>0.14000000000000001</v>
      </c>
      <c r="G120" s="24">
        <f t="shared" si="38"/>
        <v>179.45266935845672</v>
      </c>
      <c r="H120" s="46">
        <f>'[1]auto data'!V13</f>
        <v>0.13</v>
      </c>
      <c r="I120" s="20">
        <v>0</v>
      </c>
      <c r="J120" s="22">
        <f>C148</f>
        <v>1.6196954972465178</v>
      </c>
      <c r="K120" s="24">
        <f>((H120+I120)/J120)*D120</f>
        <v>160.524</v>
      </c>
      <c r="L120" s="35">
        <f>(K120-G120)/G120</f>
        <v>-0.10548001000000004</v>
      </c>
      <c r="M120" s="28"/>
      <c r="N120" s="19"/>
      <c r="O120" s="62" t="s">
        <v>201</v>
      </c>
      <c r="P120" s="62">
        <v>7</v>
      </c>
    </row>
    <row r="121" spans="1:16" x14ac:dyDescent="0.2">
      <c r="A121" s="20" t="s">
        <v>230</v>
      </c>
      <c r="B121" s="20" t="s">
        <v>150</v>
      </c>
      <c r="C121" s="21">
        <v>44281</v>
      </c>
      <c r="D121" s="20">
        <v>200</v>
      </c>
      <c r="E121" s="22">
        <v>1.55</v>
      </c>
      <c r="F121" s="23">
        <v>1.325</v>
      </c>
      <c r="G121" s="24">
        <f t="shared" si="38"/>
        <v>170.96774193548387</v>
      </c>
      <c r="H121" s="46">
        <f>'[1]auto data'!V14</f>
        <v>1.31</v>
      </c>
      <c r="I121" s="20">
        <v>0</v>
      </c>
      <c r="J121" s="22">
        <f>C148</f>
        <v>1.6196954972465178</v>
      </c>
      <c r="K121" s="24">
        <f>((H121+I121)/J121)*D121</f>
        <v>161.75879999999998</v>
      </c>
      <c r="L121" s="35">
        <f>(K121-G121)/G121</f>
        <v>-5.3863622641509561E-2</v>
      </c>
      <c r="M121" s="28"/>
      <c r="N121" s="19"/>
      <c r="O121" s="62" t="s">
        <v>201</v>
      </c>
      <c r="P121" s="62">
        <v>8</v>
      </c>
    </row>
    <row r="122" spans="1:16" x14ac:dyDescent="0.2">
      <c r="A122" s="20" t="s">
        <v>231</v>
      </c>
      <c r="B122" s="20" t="s">
        <v>232</v>
      </c>
      <c r="C122" s="21">
        <v>44321</v>
      </c>
      <c r="D122" s="20">
        <v>1500</v>
      </c>
      <c r="E122" s="22">
        <v>1.4799</v>
      </c>
      <c r="F122" s="23">
        <v>0.1</v>
      </c>
      <c r="G122" s="24">
        <f t="shared" si="38"/>
        <v>101.35819987837016</v>
      </c>
      <c r="H122" s="46">
        <f>'[1]auto data'!V15</f>
        <v>5.5E-2</v>
      </c>
      <c r="I122" s="20">
        <v>0</v>
      </c>
      <c r="J122" s="22">
        <f>C147</f>
        <v>1.4797277300976621</v>
      </c>
      <c r="K122" s="24">
        <f>((H122+I122)/J122)*D122</f>
        <v>55.753500000000003</v>
      </c>
      <c r="L122" s="35">
        <f>(K122-G122)/G122</f>
        <v>-0.44993596899999994</v>
      </c>
      <c r="M122" s="28"/>
      <c r="N122" s="19"/>
      <c r="O122" s="62" t="s">
        <v>201</v>
      </c>
      <c r="P122" s="62">
        <v>9</v>
      </c>
    </row>
    <row r="123" spans="1:16" x14ac:dyDescent="0.2">
      <c r="A123" s="20" t="s">
        <v>233</v>
      </c>
      <c r="B123" s="20" t="s">
        <v>234</v>
      </c>
      <c r="C123" s="21">
        <v>44216</v>
      </c>
      <c r="D123" s="20">
        <v>150</v>
      </c>
      <c r="E123" s="22">
        <v>1.55</v>
      </c>
      <c r="F123" s="23">
        <v>1.59</v>
      </c>
      <c r="G123" s="24">
        <f t="shared" si="38"/>
        <v>153.87096774193549</v>
      </c>
      <c r="H123" s="36">
        <f>'[1]auto data'!V16</f>
        <v>1.97</v>
      </c>
      <c r="I123" s="20">
        <v>0</v>
      </c>
      <c r="J123" s="22">
        <f>C147</f>
        <v>1.4797277300976621</v>
      </c>
      <c r="K123" s="24">
        <f>((H123+I123)/J123)*D123</f>
        <v>199.69890000000001</v>
      </c>
      <c r="L123" s="35">
        <f>(K123-G123)/G123</f>
        <v>0.29783352201257862</v>
      </c>
      <c r="M123" s="28"/>
      <c r="N123" s="29"/>
      <c r="O123" s="30" t="s">
        <v>196</v>
      </c>
      <c r="P123" s="62">
        <v>2</v>
      </c>
    </row>
    <row r="124" spans="1:16" x14ac:dyDescent="0.2">
      <c r="A124" s="20" t="s">
        <v>235</v>
      </c>
      <c r="B124" s="20" t="s">
        <v>146</v>
      </c>
      <c r="C124" s="21">
        <v>44270</v>
      </c>
      <c r="D124" s="20">
        <v>75</v>
      </c>
      <c r="E124" s="22">
        <v>1.49</v>
      </c>
      <c r="F124" s="23">
        <v>2.19</v>
      </c>
      <c r="G124" s="24">
        <f t="shared" si="38"/>
        <v>110.23489932885906</v>
      </c>
      <c r="H124" s="46">
        <f>'[1]auto data'!V17</f>
        <v>2.64</v>
      </c>
      <c r="I124" s="20">
        <v>0</v>
      </c>
      <c r="J124" s="22">
        <f>C147</f>
        <v>1.4797277300976621</v>
      </c>
      <c r="K124" s="24">
        <f t="shared" ref="K124:K134" si="39">((H124+I124)/J124)*D124</f>
        <v>133.80840000000001</v>
      </c>
      <c r="L124" s="35">
        <f t="shared" ref="L124:L134" si="40">(K124-G124)/G124</f>
        <v>0.213847890410959</v>
      </c>
      <c r="M124" s="28"/>
      <c r="N124" s="29"/>
      <c r="O124" s="30" t="s">
        <v>201</v>
      </c>
      <c r="P124" s="62">
        <v>10</v>
      </c>
    </row>
    <row r="125" spans="1:16" x14ac:dyDescent="0.2">
      <c r="A125" s="20" t="s">
        <v>236</v>
      </c>
      <c r="B125" s="20" t="s">
        <v>146</v>
      </c>
      <c r="C125" s="21">
        <v>44707</v>
      </c>
      <c r="D125" s="20">
        <v>10</v>
      </c>
      <c r="E125" s="22">
        <v>1.371</v>
      </c>
      <c r="F125" s="23">
        <v>2.92</v>
      </c>
      <c r="G125" s="24">
        <f t="shared" si="38"/>
        <v>21.298322392414295</v>
      </c>
      <c r="H125" s="46">
        <f>'[1]auto data'!V17</f>
        <v>2.64</v>
      </c>
      <c r="I125" s="20">
        <v>0</v>
      </c>
      <c r="J125" s="22">
        <f>C147</f>
        <v>1.4797277300976621</v>
      </c>
      <c r="K125" s="24">
        <f>((H125+I125)/J125)*D125</f>
        <v>17.84112</v>
      </c>
      <c r="L125" s="35">
        <f t="shared" si="40"/>
        <v>-0.16232275616438352</v>
      </c>
      <c r="M125" s="28"/>
      <c r="N125" s="29"/>
      <c r="O125" s="30" t="s">
        <v>201</v>
      </c>
      <c r="P125" s="62" t="s">
        <v>237</v>
      </c>
    </row>
    <row r="126" spans="1:16" x14ac:dyDescent="0.2">
      <c r="A126" s="20" t="s">
        <v>238</v>
      </c>
      <c r="B126" s="20" t="s">
        <v>142</v>
      </c>
      <c r="C126" s="21">
        <v>44278</v>
      </c>
      <c r="D126" s="20">
        <v>50</v>
      </c>
      <c r="E126" s="22">
        <v>1.1825000000000001</v>
      </c>
      <c r="F126" s="23">
        <v>4.8099999999999996</v>
      </c>
      <c r="G126" s="24">
        <f t="shared" si="38"/>
        <v>203.38266384778009</v>
      </c>
      <c r="H126" s="46">
        <f>'[1]auto data'!P12</f>
        <v>4.96</v>
      </c>
      <c r="I126" s="20">
        <v>0</v>
      </c>
      <c r="J126" s="22">
        <f>C146</f>
        <v>1.0763104079216446</v>
      </c>
      <c r="K126" s="24">
        <f t="shared" si="39"/>
        <v>230.41680000000002</v>
      </c>
      <c r="L126" s="35">
        <f t="shared" si="40"/>
        <v>0.13292251975052005</v>
      </c>
      <c r="M126" s="28"/>
      <c r="N126" s="29"/>
      <c r="O126" s="30" t="s">
        <v>201</v>
      </c>
      <c r="P126" s="62">
        <v>11</v>
      </c>
    </row>
    <row r="127" spans="1:16" x14ac:dyDescent="0.2">
      <c r="A127" s="20" t="s">
        <v>239</v>
      </c>
      <c r="B127" s="20" t="s">
        <v>142</v>
      </c>
      <c r="C127" s="21">
        <v>44550</v>
      </c>
      <c r="D127" s="20">
        <v>41</v>
      </c>
      <c r="E127" s="22">
        <v>1.1258999999999999</v>
      </c>
      <c r="F127" s="23">
        <v>6.4950000000000001</v>
      </c>
      <c r="G127" s="24">
        <f t="shared" si="38"/>
        <v>236.51745270450309</v>
      </c>
      <c r="H127" s="46">
        <f>'[1]auto data'!P12</f>
        <v>4.96</v>
      </c>
      <c r="I127" s="20">
        <v>0</v>
      </c>
      <c r="J127" s="22">
        <f>C146</f>
        <v>1.0763104079216446</v>
      </c>
      <c r="K127" s="24">
        <f>((H127+I127)/J127)*D127</f>
        <v>188.941776</v>
      </c>
      <c r="L127" s="35">
        <f t="shared" si="40"/>
        <v>-0.2011508079445728</v>
      </c>
      <c r="M127" s="28"/>
      <c r="N127" s="29"/>
      <c r="O127" s="30" t="s">
        <v>201</v>
      </c>
      <c r="P127" s="73" t="s">
        <v>240</v>
      </c>
    </row>
    <row r="128" spans="1:16" x14ac:dyDescent="0.2">
      <c r="A128" s="20" t="s">
        <v>241</v>
      </c>
      <c r="B128" s="20" t="s">
        <v>142</v>
      </c>
      <c r="C128" s="21">
        <v>44699</v>
      </c>
      <c r="D128" s="20">
        <v>14</v>
      </c>
      <c r="E128" s="22">
        <v>1.0485</v>
      </c>
      <c r="F128" s="23">
        <v>5.86</v>
      </c>
      <c r="G128" s="24">
        <f t="shared" si="38"/>
        <v>78.245112064854567</v>
      </c>
      <c r="H128" s="46">
        <f>'[1]auto data'!P12</f>
        <v>4.96</v>
      </c>
      <c r="I128" s="20">
        <v>0</v>
      </c>
      <c r="J128" s="22">
        <f>C146</f>
        <v>1.0763104079216446</v>
      </c>
      <c r="K128" s="24">
        <f>((H128+I128)/J128)*D128</f>
        <v>64.516704000000004</v>
      </c>
      <c r="L128" s="35">
        <f t="shared" si="40"/>
        <v>-0.17545387440273044</v>
      </c>
      <c r="M128" s="28"/>
      <c r="N128" s="29"/>
      <c r="O128" s="30" t="s">
        <v>201</v>
      </c>
      <c r="P128" s="73" t="s">
        <v>242</v>
      </c>
    </row>
    <row r="129" spans="1:16" x14ac:dyDescent="0.2">
      <c r="A129" s="20" t="s">
        <v>243</v>
      </c>
      <c r="B129" s="20" t="s">
        <v>244</v>
      </c>
      <c r="C129" s="21">
        <v>44253</v>
      </c>
      <c r="D129" s="20">
        <v>200</v>
      </c>
      <c r="E129" s="22">
        <v>1.52</v>
      </c>
      <c r="F129" s="23">
        <v>1.05</v>
      </c>
      <c r="G129" s="24">
        <f t="shared" si="38"/>
        <v>138.15789473684211</v>
      </c>
      <c r="H129" s="46">
        <f>'[1]auto data'!V18</f>
        <v>0.97309999999999997</v>
      </c>
      <c r="I129" s="20">
        <v>0</v>
      </c>
      <c r="J129" s="22">
        <f>C146</f>
        <v>1.0763104079216446</v>
      </c>
      <c r="K129" s="24">
        <f t="shared" si="39"/>
        <v>180.82144200000002</v>
      </c>
      <c r="L129" s="35">
        <f t="shared" si="40"/>
        <v>0.30880281828571438</v>
      </c>
      <c r="M129" s="28"/>
      <c r="N129" s="74"/>
      <c r="O129" s="30" t="s">
        <v>201</v>
      </c>
      <c r="P129" s="62">
        <v>12</v>
      </c>
    </row>
    <row r="130" spans="1:16" x14ac:dyDescent="0.2">
      <c r="A130" s="20" t="s">
        <v>245</v>
      </c>
      <c r="B130" s="20" t="s">
        <v>244</v>
      </c>
      <c r="C130" s="21">
        <v>44582</v>
      </c>
      <c r="D130" s="20">
        <v>100</v>
      </c>
      <c r="E130" s="22">
        <v>1.1346000000000001</v>
      </c>
      <c r="F130" s="23">
        <v>1.2</v>
      </c>
      <c r="G130" s="24">
        <f t="shared" si="38"/>
        <v>105.76414595452141</v>
      </c>
      <c r="H130" s="46">
        <f>'[1]auto data'!V18</f>
        <v>0.97309999999999997</v>
      </c>
      <c r="I130" s="20">
        <v>0</v>
      </c>
      <c r="J130" s="22">
        <f>C146</f>
        <v>1.0763104079216446</v>
      </c>
      <c r="K130" s="24">
        <f t="shared" si="39"/>
        <v>90.410721000000009</v>
      </c>
      <c r="L130" s="35">
        <f t="shared" si="40"/>
        <v>-0.14516663294499985</v>
      </c>
      <c r="M130" s="28"/>
      <c r="N130" s="29"/>
      <c r="O130" s="30" t="s">
        <v>201</v>
      </c>
      <c r="P130" s="62" t="s">
        <v>246</v>
      </c>
    </row>
    <row r="131" spans="1:16" x14ac:dyDescent="0.2">
      <c r="A131" s="20" t="s">
        <v>247</v>
      </c>
      <c r="B131" s="20" t="s">
        <v>248</v>
      </c>
      <c r="C131" s="21">
        <v>44350</v>
      </c>
      <c r="D131" s="20">
        <v>187</v>
      </c>
      <c r="E131" s="22">
        <v>1.57</v>
      </c>
      <c r="F131" s="23">
        <v>1.4</v>
      </c>
      <c r="G131" s="24">
        <f t="shared" si="38"/>
        <v>166.75159235668789</v>
      </c>
      <c r="H131" s="46">
        <f>'[1]auto data'!V19</f>
        <v>2.16</v>
      </c>
      <c r="I131" s="20">
        <v>0</v>
      </c>
      <c r="J131" s="22">
        <f>C148</f>
        <v>1.6196954972465178</v>
      </c>
      <c r="K131" s="24">
        <f t="shared" si="39"/>
        <v>249.38020799999998</v>
      </c>
      <c r="L131" s="35">
        <f t="shared" si="40"/>
        <v>0.49551919999999994</v>
      </c>
      <c r="M131" s="28"/>
      <c r="N131" s="29"/>
      <c r="O131" s="30" t="s">
        <v>201</v>
      </c>
      <c r="P131" s="62">
        <v>13</v>
      </c>
    </row>
    <row r="132" spans="1:16" x14ac:dyDescent="0.2">
      <c r="A132" s="75" t="s">
        <v>249</v>
      </c>
      <c r="B132" s="20" t="s">
        <v>250</v>
      </c>
      <c r="C132" s="21">
        <v>44054</v>
      </c>
      <c r="D132" s="20">
        <v>50</v>
      </c>
      <c r="E132" s="22">
        <v>1.58</v>
      </c>
      <c r="F132" s="23">
        <v>3.64</v>
      </c>
      <c r="G132" s="24">
        <f t="shared" si="38"/>
        <v>115.18987341772151</v>
      </c>
      <c r="H132" s="25">
        <f>'[1]auto data'!V20</f>
        <v>4.5</v>
      </c>
      <c r="I132" s="20">
        <v>0</v>
      </c>
      <c r="J132" s="22">
        <f>C147</f>
        <v>1.4797277300976621</v>
      </c>
      <c r="K132" s="24">
        <f t="shared" si="39"/>
        <v>152.05499999999998</v>
      </c>
      <c r="L132" s="35">
        <f t="shared" si="40"/>
        <v>0.32003791208791194</v>
      </c>
      <c r="M132" s="28"/>
      <c r="N132" s="29"/>
      <c r="O132" s="30" t="s">
        <v>196</v>
      </c>
      <c r="P132" s="76">
        <v>3</v>
      </c>
    </row>
    <row r="133" spans="1:16" x14ac:dyDescent="0.2">
      <c r="A133" s="20" t="s">
        <v>251</v>
      </c>
      <c r="B133" s="20" t="s">
        <v>38</v>
      </c>
      <c r="C133" s="21">
        <v>44806</v>
      </c>
      <c r="D133" s="20">
        <v>15</v>
      </c>
      <c r="E133" s="22">
        <v>0.99550000000000005</v>
      </c>
      <c r="F133" s="23">
        <v>3.99</v>
      </c>
      <c r="G133" s="24">
        <f t="shared" si="38"/>
        <v>60.12054244098443</v>
      </c>
      <c r="H133" s="36">
        <f>'[1]auto data'!J10</f>
        <v>5.15</v>
      </c>
      <c r="I133" s="20">
        <v>0</v>
      </c>
      <c r="J133" s="22">
        <f>C146</f>
        <v>1.0763104079216446</v>
      </c>
      <c r="K133" s="24">
        <f t="shared" si="39"/>
        <v>71.772975000000017</v>
      </c>
      <c r="L133" s="35">
        <f t="shared" si="40"/>
        <v>0.19381782142857171</v>
      </c>
      <c r="M133" s="28"/>
      <c r="N133" s="29"/>
      <c r="O133" s="30" t="s">
        <v>252</v>
      </c>
      <c r="P133" s="62" t="s">
        <v>252</v>
      </c>
    </row>
    <row r="134" spans="1:16" x14ac:dyDescent="0.2">
      <c r="A134" s="20" t="s">
        <v>253</v>
      </c>
      <c r="B134" s="20" t="s">
        <v>25</v>
      </c>
      <c r="C134" s="21">
        <v>44820</v>
      </c>
      <c r="D134" s="20">
        <v>25</v>
      </c>
      <c r="E134" s="22">
        <v>1.3298000000000001</v>
      </c>
      <c r="F134" s="23">
        <v>3.03</v>
      </c>
      <c r="G134" s="24">
        <f t="shared" si="38"/>
        <v>56.963453150849745</v>
      </c>
      <c r="H134" s="25">
        <f>'[1]auto data'!J5</f>
        <v>3.75</v>
      </c>
      <c r="I134" s="37">
        <f>I133</f>
        <v>0</v>
      </c>
      <c r="J134" s="22">
        <f>C147</f>
        <v>1.4797277300976621</v>
      </c>
      <c r="K134" s="24">
        <f t="shared" si="39"/>
        <v>63.356249999999989</v>
      </c>
      <c r="L134" s="35">
        <f t="shared" si="40"/>
        <v>0.11222628712871281</v>
      </c>
      <c r="M134" s="28"/>
      <c r="N134" s="29"/>
      <c r="O134" s="30" t="s">
        <v>252</v>
      </c>
      <c r="P134" s="62" t="s">
        <v>252</v>
      </c>
    </row>
    <row r="135" spans="1:16" x14ac:dyDescent="0.2">
      <c r="A135" s="20" t="s">
        <v>254</v>
      </c>
      <c r="B135" s="20" t="s">
        <v>255</v>
      </c>
      <c r="C135" s="21">
        <v>44879</v>
      </c>
      <c r="D135" s="20">
        <v>100</v>
      </c>
      <c r="E135" s="22">
        <v>1.3754999999999999</v>
      </c>
      <c r="F135" s="23">
        <v>0.3</v>
      </c>
      <c r="G135" s="24">
        <f t="shared" si="38"/>
        <v>21.810250817884405</v>
      </c>
      <c r="H135" s="36">
        <f>'[1]auto data'!V21</f>
        <v>0.22</v>
      </c>
      <c r="I135" s="37">
        <v>0</v>
      </c>
      <c r="J135" s="22">
        <f>C147</f>
        <v>1.4797277300976621</v>
      </c>
      <c r="K135" s="24">
        <f>((H135+I135)/J135)*D135</f>
        <v>14.867599999999999</v>
      </c>
      <c r="L135" s="35">
        <f>(K135-G135)/G135+1</f>
        <v>0.68167946000000001</v>
      </c>
      <c r="M135" s="28"/>
      <c r="N135" s="29"/>
      <c r="O135" s="30" t="s">
        <v>252</v>
      </c>
      <c r="P135" s="62" t="s">
        <v>252</v>
      </c>
    </row>
    <row r="136" spans="1:16" x14ac:dyDescent="0.2">
      <c r="A136" s="75"/>
      <c r="B136" s="77"/>
      <c r="C136" s="78"/>
      <c r="D136" s="77"/>
      <c r="E136" s="79"/>
      <c r="F136" s="80"/>
      <c r="G136" s="81"/>
      <c r="H136" s="82"/>
      <c r="I136" s="83"/>
      <c r="J136" s="79"/>
      <c r="K136" s="81"/>
      <c r="L136" s="84"/>
      <c r="M136" s="85"/>
      <c r="N136" s="74"/>
      <c r="O136" s="86"/>
      <c r="P136" s="76"/>
    </row>
    <row r="137" spans="1:16" x14ac:dyDescent="0.2">
      <c r="A137" s="87" t="s">
        <v>256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9"/>
    </row>
    <row r="138" spans="1:16" x14ac:dyDescent="0.2">
      <c r="A138" s="90" t="s">
        <v>257</v>
      </c>
      <c r="B138" s="13" t="s">
        <v>258</v>
      </c>
      <c r="C138" s="14" t="s">
        <v>259</v>
      </c>
      <c r="D138" s="13"/>
      <c r="E138" s="91"/>
      <c r="F138" s="92"/>
      <c r="G138" s="93"/>
      <c r="H138" s="94"/>
      <c r="I138" s="13"/>
      <c r="J138" s="91"/>
      <c r="K138" s="93" t="s">
        <v>260</v>
      </c>
      <c r="L138" s="35"/>
      <c r="M138" s="28"/>
      <c r="N138" s="29"/>
      <c r="O138" s="30"/>
      <c r="P138" s="62"/>
    </row>
    <row r="139" spans="1:16" x14ac:dyDescent="0.2">
      <c r="A139" s="13" t="s">
        <v>261</v>
      </c>
      <c r="B139" s="20"/>
      <c r="C139" s="21"/>
      <c r="D139" s="63"/>
      <c r="E139" s="64"/>
      <c r="F139" s="20"/>
      <c r="G139" s="37"/>
      <c r="H139" s="26"/>
      <c r="I139" s="65"/>
      <c r="J139" s="64"/>
      <c r="K139" s="24">
        <v>8467</v>
      </c>
      <c r="L139" s="95"/>
      <c r="M139" s="62"/>
      <c r="N139" s="29"/>
      <c r="O139" s="30"/>
      <c r="P139" s="62"/>
    </row>
    <row r="140" spans="1:16" x14ac:dyDescent="0.2">
      <c r="A140" s="13" t="s">
        <v>262</v>
      </c>
      <c r="B140" s="20"/>
      <c r="C140" s="21"/>
      <c r="D140" s="63"/>
      <c r="E140" s="64"/>
      <c r="F140" s="20"/>
      <c r="G140" s="37"/>
      <c r="H140" s="26"/>
      <c r="I140" s="65"/>
      <c r="J140" s="64"/>
      <c r="K140" s="24">
        <v>19016</v>
      </c>
      <c r="L140" s="95"/>
      <c r="M140" s="62"/>
      <c r="N140" s="29"/>
      <c r="O140" s="30"/>
      <c r="P140" s="62"/>
    </row>
    <row r="141" spans="1:16" x14ac:dyDescent="0.2">
      <c r="A141" s="13" t="s">
        <v>263</v>
      </c>
      <c r="B141" s="20"/>
      <c r="C141" s="21"/>
      <c r="D141" s="20"/>
      <c r="E141" s="22"/>
      <c r="F141" s="23"/>
      <c r="G141" s="24"/>
      <c r="H141" s="96"/>
      <c r="I141" s="26"/>
      <c r="J141" s="22"/>
      <c r="K141" s="24">
        <v>5600</v>
      </c>
      <c r="L141" s="35"/>
      <c r="M141" s="28"/>
      <c r="N141" s="29"/>
      <c r="O141" s="30"/>
      <c r="P141" s="33"/>
    </row>
    <row r="142" spans="1:16" x14ac:dyDescent="0.2">
      <c r="A142" s="13" t="s">
        <v>264</v>
      </c>
      <c r="B142" s="20"/>
      <c r="C142" s="21"/>
      <c r="D142" s="20"/>
      <c r="E142" s="22"/>
      <c r="F142" s="23"/>
      <c r="G142" s="24"/>
      <c r="H142" s="96"/>
      <c r="I142" s="26"/>
      <c r="J142" s="22"/>
      <c r="K142" s="97">
        <v>1583</v>
      </c>
      <c r="L142" s="35"/>
      <c r="M142" s="28"/>
      <c r="N142" s="29"/>
      <c r="O142" s="30"/>
      <c r="P142" s="33"/>
    </row>
    <row r="143" spans="1:16" x14ac:dyDescent="0.2">
      <c r="A143" s="13" t="s">
        <v>265</v>
      </c>
      <c r="B143" s="20"/>
      <c r="C143" s="21"/>
      <c r="D143" s="20"/>
      <c r="E143" s="22"/>
      <c r="F143" s="23"/>
      <c r="G143" s="24"/>
      <c r="H143" s="96"/>
      <c r="I143" s="26"/>
      <c r="J143" s="22"/>
      <c r="K143" s="97">
        <v>1061</v>
      </c>
      <c r="L143" s="35"/>
      <c r="M143" s="28"/>
      <c r="N143" s="29"/>
      <c r="O143" s="30"/>
      <c r="P143" s="33"/>
    </row>
    <row r="144" spans="1:16" x14ac:dyDescent="0.2">
      <c r="A144" s="87" t="s">
        <v>266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98">
        <f>[1]trading!J28+[1]trading!G28</f>
        <v>-267.67379800926847</v>
      </c>
      <c r="O144" s="99"/>
      <c r="P144" s="100"/>
    </row>
    <row r="145" spans="1:16" x14ac:dyDescent="0.2">
      <c r="A145" s="2" t="s">
        <v>267</v>
      </c>
      <c r="B145" s="3"/>
      <c r="C145" s="3"/>
      <c r="D145" s="101"/>
      <c r="E145" s="102" t="s">
        <v>268</v>
      </c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1:16" x14ac:dyDescent="0.2">
      <c r="A146" s="20" t="s">
        <v>269</v>
      </c>
      <c r="B146" s="20" t="s">
        <v>270</v>
      </c>
      <c r="C146" s="103">
        <f>'[1]auto data'!D3</f>
        <v>1.0763104079216446</v>
      </c>
      <c r="D146" s="20"/>
      <c r="E146" s="104" t="s">
        <v>271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6"/>
    </row>
    <row r="147" spans="1:16" x14ac:dyDescent="0.2">
      <c r="A147" s="20" t="s">
        <v>272</v>
      </c>
      <c r="B147" s="20" t="s">
        <v>273</v>
      </c>
      <c r="C147" s="103">
        <f>'[1]auto data'!D4</f>
        <v>1.4797277300976621</v>
      </c>
      <c r="D147" s="20"/>
      <c r="E147" s="107" t="s">
        <v>274</v>
      </c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9"/>
    </row>
    <row r="148" spans="1:16" x14ac:dyDescent="0.2">
      <c r="A148" s="20" t="s">
        <v>275</v>
      </c>
      <c r="B148" s="20" t="s">
        <v>276</v>
      </c>
      <c r="C148" s="103">
        <f>'[1]auto data'!D5</f>
        <v>1.6196954972465178</v>
      </c>
      <c r="D148" s="20"/>
      <c r="E148" s="110" t="s">
        <v>277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2"/>
    </row>
    <row r="149" spans="1:16" x14ac:dyDescent="0.2">
      <c r="A149" s="20" t="s">
        <v>278</v>
      </c>
      <c r="B149" s="20" t="s">
        <v>279</v>
      </c>
      <c r="C149" s="103">
        <f>'[1]auto data'!D6</f>
        <v>0.88004928275983452</v>
      </c>
      <c r="D149" s="20"/>
      <c r="E149" s="113" t="s">
        <v>280</v>
      </c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1:16" x14ac:dyDescent="0.2">
      <c r="A150" s="20"/>
      <c r="B150" s="20"/>
      <c r="C150" s="103"/>
      <c r="D150" s="20"/>
      <c r="E150" s="114" t="s">
        <v>281</v>
      </c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1:16" x14ac:dyDescent="0.2">
      <c r="A151" s="87" t="s">
        <v>282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9"/>
    </row>
    <row r="152" spans="1:16" x14ac:dyDescent="0.2">
      <c r="A152" s="19" t="s">
        <v>283</v>
      </c>
      <c r="B152" s="19"/>
      <c r="C152" s="19"/>
      <c r="D152" s="19"/>
      <c r="E152" s="115">
        <f>SUM(G2:G137)</f>
        <v>61423.022091147024</v>
      </c>
      <c r="F152" s="20"/>
      <c r="G152" s="116" t="s">
        <v>284</v>
      </c>
      <c r="H152" s="116"/>
      <c r="I152" s="116"/>
      <c r="J152" s="116"/>
      <c r="K152" s="117">
        <f>SUM(K2:K137)+N144</f>
        <v>54032.655886623907</v>
      </c>
      <c r="L152" s="20"/>
      <c r="M152" s="118" t="s">
        <v>285</v>
      </c>
      <c r="N152" s="119"/>
      <c r="O152" s="120"/>
      <c r="P152" s="121">
        <f>P153+M91+M87+M78+M61+M46+M25+M2</f>
        <v>53028.380493486155</v>
      </c>
    </row>
    <row r="153" spans="1:16" x14ac:dyDescent="0.2">
      <c r="A153" s="19" t="s">
        <v>286</v>
      </c>
      <c r="B153" s="19"/>
      <c r="C153" s="19"/>
      <c r="D153" s="19"/>
      <c r="E153" s="115">
        <v>25000</v>
      </c>
      <c r="F153" s="20"/>
      <c r="G153" s="122" t="s">
        <v>287</v>
      </c>
      <c r="H153" s="123"/>
      <c r="I153" s="123"/>
      <c r="J153" s="124"/>
      <c r="K153" s="125">
        <f>K152-E152</f>
        <v>-7390.3662045231176</v>
      </c>
      <c r="L153" s="20"/>
      <c r="M153" s="118" t="s">
        <v>288</v>
      </c>
      <c r="N153" s="119"/>
      <c r="O153" s="120"/>
      <c r="P153" s="126">
        <f>E154-E152</f>
        <v>-696.02209114702418</v>
      </c>
    </row>
    <row r="154" spans="1:16" x14ac:dyDescent="0.2">
      <c r="A154" s="19" t="s">
        <v>289</v>
      </c>
      <c r="B154" s="19"/>
      <c r="C154" s="19"/>
      <c r="D154" s="19"/>
      <c r="E154" s="115">
        <f>E153+K154</f>
        <v>60727</v>
      </c>
      <c r="F154" s="20"/>
      <c r="G154" s="116" t="s">
        <v>290</v>
      </c>
      <c r="H154" s="116"/>
      <c r="I154" s="116"/>
      <c r="J154" s="116"/>
      <c r="K154" s="117">
        <f>SUM(K139:K143)</f>
        <v>35727</v>
      </c>
      <c r="L154" s="37"/>
      <c r="M154" s="118" t="s">
        <v>291</v>
      </c>
      <c r="N154" s="119"/>
      <c r="O154" s="120"/>
      <c r="P154" s="127">
        <f>P153/P152</f>
        <v>-1.3125463849165098E-2</v>
      </c>
    </row>
    <row r="155" spans="1:16" x14ac:dyDescent="0.2">
      <c r="A155" s="128" t="s">
        <v>292</v>
      </c>
      <c r="B155" s="19"/>
      <c r="C155" s="19"/>
      <c r="D155" s="19"/>
      <c r="E155" s="115">
        <f>E154+K155+K154</f>
        <v>96455.121135219742</v>
      </c>
      <c r="F155" s="20"/>
      <c r="G155" s="116" t="s">
        <v>293</v>
      </c>
      <c r="H155" s="116"/>
      <c r="I155" s="116"/>
      <c r="J155" s="116"/>
      <c r="K155" s="129">
        <f>(P152/E153)-1</f>
        <v>1.121135219739446</v>
      </c>
      <c r="L155" s="37"/>
      <c r="M155" s="130" t="s">
        <v>294</v>
      </c>
      <c r="N155" s="131"/>
      <c r="O155" s="132"/>
      <c r="P155" s="133">
        <f>P91+P87+P78+P61+P46+P25+P2+P154</f>
        <v>0.99174906057704404</v>
      </c>
    </row>
    <row r="156" spans="1:16" x14ac:dyDescent="0.2">
      <c r="A156" s="87" t="s">
        <v>295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9"/>
    </row>
    <row r="157" spans="1:16" x14ac:dyDescent="0.2">
      <c r="A157" s="13" t="s">
        <v>296</v>
      </c>
      <c r="B157" s="13" t="s">
        <v>3</v>
      </c>
      <c r="C157" s="13" t="s">
        <v>297</v>
      </c>
      <c r="D157" s="13" t="s">
        <v>5</v>
      </c>
      <c r="E157" s="15" t="s">
        <v>298</v>
      </c>
      <c r="F157" s="13" t="s">
        <v>299</v>
      </c>
      <c r="G157" s="13" t="s">
        <v>300</v>
      </c>
      <c r="H157" s="17" t="s">
        <v>301</v>
      </c>
      <c r="I157" s="17" t="s">
        <v>302</v>
      </c>
      <c r="J157" s="130" t="s">
        <v>303</v>
      </c>
      <c r="K157" s="130" t="s">
        <v>304</v>
      </c>
      <c r="L157" s="131"/>
      <c r="M157" s="131"/>
      <c r="N157" s="131"/>
      <c r="O157" s="131"/>
      <c r="P157" s="132"/>
    </row>
    <row r="158" spans="1:16" x14ac:dyDescent="0.2">
      <c r="A158" s="20" t="s">
        <v>305</v>
      </c>
      <c r="B158" s="20" t="s">
        <v>306</v>
      </c>
      <c r="C158" s="42"/>
      <c r="D158" s="20">
        <v>30</v>
      </c>
      <c r="E158" s="22">
        <f>C149</f>
        <v>0.88004928275983452</v>
      </c>
      <c r="F158" s="134">
        <f>'[1]auto data'!Z3/100</f>
        <v>28.72</v>
      </c>
      <c r="G158" s="24">
        <f>(F158)/E158*D158</f>
        <v>979.03607999999986</v>
      </c>
      <c r="H158" s="135">
        <v>25</v>
      </c>
      <c r="I158" s="62" t="s">
        <v>307</v>
      </c>
      <c r="J158" s="22" t="s">
        <v>308</v>
      </c>
      <c r="K158" s="136" t="s">
        <v>309</v>
      </c>
      <c r="L158" s="137"/>
      <c r="M158" s="137"/>
      <c r="N158" s="137"/>
      <c r="O158" s="137"/>
      <c r="P158" s="138"/>
    </row>
    <row r="159" spans="1:16" x14ac:dyDescent="0.2">
      <c r="A159" s="20" t="s">
        <v>310</v>
      </c>
      <c r="B159" s="20" t="s">
        <v>311</v>
      </c>
      <c r="C159" s="42"/>
      <c r="D159" s="20">
        <v>100</v>
      </c>
      <c r="E159" s="22">
        <f>C146</f>
        <v>1.0763104079216446</v>
      </c>
      <c r="F159" s="134">
        <f>'[1]auto data'!Z4</f>
        <v>3.79</v>
      </c>
      <c r="G159" s="24">
        <f t="shared" ref="G159:G167" si="41">(F159/E159)*D159</f>
        <v>352.12890000000004</v>
      </c>
      <c r="H159" s="135">
        <v>2.5</v>
      </c>
      <c r="I159" s="62" t="s">
        <v>312</v>
      </c>
      <c r="J159" s="22" t="s">
        <v>308</v>
      </c>
      <c r="K159" s="136" t="s">
        <v>313</v>
      </c>
      <c r="L159" s="137"/>
      <c r="M159" s="137"/>
      <c r="N159" s="137"/>
      <c r="O159" s="137"/>
      <c r="P159" s="138"/>
    </row>
    <row r="160" spans="1:16" x14ac:dyDescent="0.2">
      <c r="A160" s="20" t="s">
        <v>314</v>
      </c>
      <c r="B160" s="20" t="s">
        <v>315</v>
      </c>
      <c r="C160" s="42"/>
      <c r="D160" s="20">
        <v>10</v>
      </c>
      <c r="E160" s="22">
        <f>C146</f>
        <v>1.0763104079216446</v>
      </c>
      <c r="F160" s="134">
        <f>'[1]auto data'!Z5</f>
        <v>48.55</v>
      </c>
      <c r="G160" s="24">
        <f t="shared" si="41"/>
        <v>451.07804999999996</v>
      </c>
      <c r="H160" s="135">
        <v>40</v>
      </c>
      <c r="I160" s="62" t="s">
        <v>312</v>
      </c>
      <c r="J160" s="22" t="s">
        <v>308</v>
      </c>
      <c r="K160" s="136" t="s">
        <v>313</v>
      </c>
      <c r="L160" s="137"/>
      <c r="M160" s="137"/>
      <c r="N160" s="137"/>
      <c r="O160" s="137"/>
      <c r="P160" s="138"/>
    </row>
    <row r="161" spans="1:16" x14ac:dyDescent="0.2">
      <c r="A161" s="20" t="s">
        <v>316</v>
      </c>
      <c r="B161" s="20" t="s">
        <v>317</v>
      </c>
      <c r="C161" s="42"/>
      <c r="D161" s="20">
        <v>50</v>
      </c>
      <c r="E161" s="22">
        <f>C148</f>
        <v>1.6196954972465178</v>
      </c>
      <c r="F161" s="134">
        <f>'[1]auto data'!Z6</f>
        <v>20.32</v>
      </c>
      <c r="G161" s="24">
        <f t="shared" si="41"/>
        <v>627.27839999999992</v>
      </c>
      <c r="H161" s="135">
        <v>11.5</v>
      </c>
      <c r="I161" s="62" t="s">
        <v>318</v>
      </c>
      <c r="J161" s="22" t="s">
        <v>308</v>
      </c>
      <c r="K161" s="136" t="s">
        <v>319</v>
      </c>
      <c r="L161" s="137"/>
      <c r="M161" s="137"/>
      <c r="N161" s="137"/>
      <c r="O161" s="137"/>
      <c r="P161" s="138"/>
    </row>
    <row r="162" spans="1:16" x14ac:dyDescent="0.2">
      <c r="A162" s="20" t="s">
        <v>320</v>
      </c>
      <c r="B162" s="20" t="s">
        <v>321</v>
      </c>
      <c r="C162" s="42"/>
      <c r="D162" s="20">
        <v>150</v>
      </c>
      <c r="E162" s="22">
        <f>C146</f>
        <v>1.0763104079216446</v>
      </c>
      <c r="F162" s="134">
        <f>'[1]auto data'!Z7</f>
        <v>2.79</v>
      </c>
      <c r="G162" s="24">
        <f t="shared" si="41"/>
        <v>388.82835000000006</v>
      </c>
      <c r="H162" s="135">
        <v>1</v>
      </c>
      <c r="I162" s="62" t="s">
        <v>312</v>
      </c>
      <c r="J162" s="22" t="s">
        <v>308</v>
      </c>
      <c r="K162" s="136" t="s">
        <v>322</v>
      </c>
      <c r="L162" s="137"/>
      <c r="M162" s="137"/>
      <c r="N162" s="137"/>
      <c r="O162" s="137"/>
      <c r="P162" s="138"/>
    </row>
    <row r="163" spans="1:16" x14ac:dyDescent="0.2">
      <c r="A163" s="20" t="s">
        <v>323</v>
      </c>
      <c r="B163" s="20" t="s">
        <v>324</v>
      </c>
      <c r="C163" s="42"/>
      <c r="D163" s="20">
        <v>1000</v>
      </c>
      <c r="E163" s="22">
        <f>C147</f>
        <v>1.4797277300976621</v>
      </c>
      <c r="F163" s="134">
        <f>'[1]auto data'!Z8</f>
        <v>0.375</v>
      </c>
      <c r="G163" s="24">
        <f t="shared" si="41"/>
        <v>253.42500000000001</v>
      </c>
      <c r="H163" s="135">
        <v>0.3</v>
      </c>
      <c r="I163" s="62" t="s">
        <v>325</v>
      </c>
      <c r="J163" s="22" t="s">
        <v>326</v>
      </c>
      <c r="K163" s="136" t="s">
        <v>322</v>
      </c>
      <c r="L163" s="137"/>
      <c r="M163" s="137"/>
      <c r="N163" s="137"/>
      <c r="O163" s="137"/>
      <c r="P163" s="138"/>
    </row>
    <row r="164" spans="1:16" x14ac:dyDescent="0.2">
      <c r="A164" s="20" t="s">
        <v>327</v>
      </c>
      <c r="B164" s="20" t="s">
        <v>328</v>
      </c>
      <c r="C164" s="42"/>
      <c r="D164" s="20">
        <v>400</v>
      </c>
      <c r="E164" s="22">
        <f>C147</f>
        <v>1.4797277300976621</v>
      </c>
      <c r="F164" s="134">
        <f>'[1]auto data'!Z9</f>
        <v>0.6</v>
      </c>
      <c r="G164" s="24">
        <f t="shared" si="41"/>
        <v>162.19199999999998</v>
      </c>
      <c r="H164" s="135">
        <v>0.25</v>
      </c>
      <c r="I164" s="62" t="s">
        <v>318</v>
      </c>
      <c r="J164" s="22" t="s">
        <v>326</v>
      </c>
      <c r="K164" s="136" t="s">
        <v>329</v>
      </c>
      <c r="L164" s="137"/>
      <c r="M164" s="137"/>
      <c r="N164" s="137"/>
      <c r="O164" s="137"/>
      <c r="P164" s="138"/>
    </row>
    <row r="165" spans="1:16" x14ac:dyDescent="0.2">
      <c r="A165" s="20" t="s">
        <v>330</v>
      </c>
      <c r="B165" s="20" t="s">
        <v>331</v>
      </c>
      <c r="C165" s="42"/>
      <c r="D165" s="20">
        <v>24</v>
      </c>
      <c r="E165" s="22">
        <f>C146</f>
        <v>1.0763104079216446</v>
      </c>
      <c r="F165" s="134">
        <f>'[1]auto data'!Z10</f>
        <v>4.76</v>
      </c>
      <c r="G165" s="24">
        <f t="shared" si="41"/>
        <v>106.140384</v>
      </c>
      <c r="H165" s="135">
        <v>4</v>
      </c>
      <c r="I165" s="62" t="s">
        <v>312</v>
      </c>
      <c r="J165" s="22" t="s">
        <v>326</v>
      </c>
      <c r="K165" s="136" t="s">
        <v>329</v>
      </c>
      <c r="L165" s="137"/>
      <c r="M165" s="137"/>
      <c r="N165" s="137"/>
      <c r="O165" s="137"/>
      <c r="P165" s="138"/>
    </row>
    <row r="166" spans="1:16" x14ac:dyDescent="0.2">
      <c r="A166" s="20" t="s">
        <v>332</v>
      </c>
      <c r="B166" s="20" t="s">
        <v>150</v>
      </c>
      <c r="C166" s="42"/>
      <c r="D166" s="20">
        <v>4000</v>
      </c>
      <c r="E166" s="22">
        <f>C149</f>
        <v>0.88004928275983452</v>
      </c>
      <c r="F166" s="134">
        <f>'[1]auto data'!Z11/100</f>
        <v>4.3499999999999997E-2</v>
      </c>
      <c r="G166" s="24">
        <f t="shared" si="41"/>
        <v>197.71619999999999</v>
      </c>
      <c r="H166" s="135">
        <v>0.03</v>
      </c>
      <c r="I166" s="62" t="s">
        <v>307</v>
      </c>
      <c r="J166" s="22" t="s">
        <v>326</v>
      </c>
      <c r="K166" s="136" t="s">
        <v>329</v>
      </c>
      <c r="L166" s="137"/>
      <c r="M166" s="137"/>
      <c r="N166" s="137"/>
      <c r="O166" s="137"/>
      <c r="P166" s="138"/>
    </row>
    <row r="167" spans="1:16" x14ac:dyDescent="0.2">
      <c r="A167" s="20" t="s">
        <v>333</v>
      </c>
      <c r="B167" s="20" t="s">
        <v>334</v>
      </c>
      <c r="C167" s="42"/>
      <c r="D167" s="20">
        <v>1400</v>
      </c>
      <c r="E167" s="22">
        <f>C146</f>
        <v>1.0763104079216446</v>
      </c>
      <c r="F167" s="134">
        <f>'[1]auto data'!Z12</f>
        <v>0.17829999999999999</v>
      </c>
      <c r="G167" s="24">
        <f t="shared" si="41"/>
        <v>231.921942</v>
      </c>
      <c r="H167" s="135">
        <v>0.15</v>
      </c>
      <c r="I167" s="62" t="s">
        <v>335</v>
      </c>
      <c r="J167" s="22" t="s">
        <v>326</v>
      </c>
      <c r="K167" s="136" t="s">
        <v>329</v>
      </c>
      <c r="L167" s="137"/>
      <c r="M167" s="137"/>
      <c r="N167" s="137"/>
      <c r="O167" s="137"/>
      <c r="P167" s="138"/>
    </row>
  </sheetData>
  <mergeCells count="34">
    <mergeCell ref="G153:J153"/>
    <mergeCell ref="G154:J154"/>
    <mergeCell ref="G155:J155"/>
    <mergeCell ref="E146:P146"/>
    <mergeCell ref="E147:P147"/>
    <mergeCell ref="E148:P148"/>
    <mergeCell ref="E149:P149"/>
    <mergeCell ref="E150:P150"/>
    <mergeCell ref="G152:J152"/>
    <mergeCell ref="A91:F91"/>
    <mergeCell ref="G91:K91"/>
    <mergeCell ref="M91:O91"/>
    <mergeCell ref="N144:P144"/>
    <mergeCell ref="A145:C145"/>
    <mergeCell ref="E145:P145"/>
    <mergeCell ref="A78:F78"/>
    <mergeCell ref="G78:K78"/>
    <mergeCell ref="M78:O78"/>
    <mergeCell ref="A87:F87"/>
    <mergeCell ref="G87:K87"/>
    <mergeCell ref="M87:O87"/>
    <mergeCell ref="A46:F46"/>
    <mergeCell ref="G46:K46"/>
    <mergeCell ref="M46:O46"/>
    <mergeCell ref="A61:F61"/>
    <mergeCell ref="G61:K61"/>
    <mergeCell ref="M61:O61"/>
    <mergeCell ref="A1:P1"/>
    <mergeCell ref="A2:F2"/>
    <mergeCell ref="G2:K2"/>
    <mergeCell ref="M2:O2"/>
    <mergeCell ref="A25:F25"/>
    <mergeCell ref="G25:K25"/>
    <mergeCell ref="M25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2023-03-26T07:32:30Z</dcterms:created>
  <dcterms:modified xsi:type="dcterms:W3CDTF">2023-03-26T07:34:02Z</dcterms:modified>
</cp:coreProperties>
</file>