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8_{34FC815A-90F9-CC47-A1A1-1AC5CE8244B6}" xr6:coauthVersionLast="47" xr6:coauthVersionMax="47" xr10:uidLastSave="{00000000-0000-0000-0000-000000000000}"/>
  <bookViews>
    <workbookView xWindow="1520" yWindow="2000" windowWidth="23740" windowHeight="13380" xr2:uid="{AEC1AA26-CB1C-A84C-A919-2ECCC4C96F09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0" i="1" l="1"/>
  <c r="F179" i="1"/>
  <c r="F178" i="1"/>
  <c r="G178" i="1" s="1"/>
  <c r="F177" i="1"/>
  <c r="F176" i="1"/>
  <c r="F175" i="1"/>
  <c r="F174" i="1"/>
  <c r="G174" i="1" s="1"/>
  <c r="E174" i="1"/>
  <c r="F173" i="1"/>
  <c r="G173" i="1" s="1"/>
  <c r="E173" i="1"/>
  <c r="F172" i="1"/>
  <c r="F171" i="1"/>
  <c r="C162" i="1"/>
  <c r="E179" i="1" s="1"/>
  <c r="G179" i="1" s="1"/>
  <c r="C161" i="1"/>
  <c r="C160" i="1"/>
  <c r="C159" i="1"/>
  <c r="E178" i="1" s="1"/>
  <c r="K157" i="1"/>
  <c r="J157" i="1"/>
  <c r="G157" i="1"/>
  <c r="G156" i="1"/>
  <c r="G155" i="1"/>
  <c r="J154" i="1"/>
  <c r="K154" i="1" s="1"/>
  <c r="G154" i="1"/>
  <c r="M154" i="1" s="1"/>
  <c r="L154" i="1" s="1"/>
  <c r="K153" i="1"/>
  <c r="J153" i="1"/>
  <c r="G153" i="1"/>
  <c r="M153" i="1" s="1"/>
  <c r="L153" i="1" s="1"/>
  <c r="G152" i="1"/>
  <c r="G151" i="1"/>
  <c r="J150" i="1"/>
  <c r="K150" i="1" s="1"/>
  <c r="G150" i="1"/>
  <c r="K149" i="1"/>
  <c r="J149" i="1"/>
  <c r="G149" i="1"/>
  <c r="M149" i="1" s="1"/>
  <c r="G148" i="1"/>
  <c r="G147" i="1"/>
  <c r="J146" i="1"/>
  <c r="K146" i="1" s="1"/>
  <c r="G146" i="1"/>
  <c r="M146" i="1" s="1"/>
  <c r="L146" i="1" s="1"/>
  <c r="K145" i="1"/>
  <c r="J145" i="1"/>
  <c r="H145" i="1"/>
  <c r="G145" i="1"/>
  <c r="H134" i="1"/>
  <c r="G134" i="1"/>
  <c r="I133" i="1"/>
  <c r="H133" i="1"/>
  <c r="G133" i="1"/>
  <c r="K132" i="1"/>
  <c r="L132" i="1" s="1"/>
  <c r="J132" i="1"/>
  <c r="H132" i="1"/>
  <c r="G132" i="1"/>
  <c r="H131" i="1"/>
  <c r="G131" i="1"/>
  <c r="J130" i="1"/>
  <c r="H130" i="1"/>
  <c r="K130" i="1" s="1"/>
  <c r="L130" i="1" s="1"/>
  <c r="G130" i="1"/>
  <c r="J129" i="1"/>
  <c r="H129" i="1"/>
  <c r="K129" i="1" s="1"/>
  <c r="L129" i="1" s="1"/>
  <c r="G129" i="1"/>
  <c r="K128" i="1"/>
  <c r="L128" i="1" s="1"/>
  <c r="J128" i="1"/>
  <c r="H128" i="1"/>
  <c r="G128" i="1"/>
  <c r="H127" i="1"/>
  <c r="G127" i="1"/>
  <c r="H126" i="1"/>
  <c r="G126" i="1"/>
  <c r="J125" i="1"/>
  <c r="H125" i="1"/>
  <c r="K125" i="1" s="1"/>
  <c r="L125" i="1" s="1"/>
  <c r="G125" i="1"/>
  <c r="H124" i="1"/>
  <c r="G124" i="1"/>
  <c r="H123" i="1"/>
  <c r="G123" i="1"/>
  <c r="H122" i="1"/>
  <c r="G122" i="1"/>
  <c r="J121" i="1"/>
  <c r="H121" i="1"/>
  <c r="K121" i="1" s="1"/>
  <c r="L121" i="1" s="1"/>
  <c r="G121" i="1"/>
  <c r="K120" i="1"/>
  <c r="L120" i="1" s="1"/>
  <c r="J120" i="1"/>
  <c r="H120" i="1"/>
  <c r="G120" i="1"/>
  <c r="K119" i="1"/>
  <c r="J119" i="1"/>
  <c r="H119" i="1"/>
  <c r="G119" i="1"/>
  <c r="L119" i="1" s="1"/>
  <c r="H118" i="1"/>
  <c r="G118" i="1"/>
  <c r="J117" i="1"/>
  <c r="H117" i="1"/>
  <c r="G117" i="1"/>
  <c r="H116" i="1"/>
  <c r="G116" i="1"/>
  <c r="K115" i="1"/>
  <c r="J115" i="1"/>
  <c r="H115" i="1"/>
  <c r="G115" i="1"/>
  <c r="L115" i="1" s="1"/>
  <c r="J114" i="1"/>
  <c r="H114" i="1"/>
  <c r="K114" i="1" s="1"/>
  <c r="L114" i="1" s="1"/>
  <c r="G114" i="1"/>
  <c r="J113" i="1"/>
  <c r="H113" i="1"/>
  <c r="K113" i="1" s="1"/>
  <c r="L113" i="1" s="1"/>
  <c r="G113" i="1"/>
  <c r="K112" i="1"/>
  <c r="L112" i="1" s="1"/>
  <c r="J112" i="1"/>
  <c r="H112" i="1"/>
  <c r="G112" i="1"/>
  <c r="K111" i="1"/>
  <c r="J111" i="1"/>
  <c r="H111" i="1"/>
  <c r="G111" i="1"/>
  <c r="L111" i="1" s="1"/>
  <c r="H110" i="1"/>
  <c r="G110" i="1"/>
  <c r="J109" i="1"/>
  <c r="H109" i="1"/>
  <c r="G109" i="1"/>
  <c r="K108" i="1"/>
  <c r="L108" i="1" s="1"/>
  <c r="J108" i="1"/>
  <c r="H108" i="1"/>
  <c r="G108" i="1"/>
  <c r="H107" i="1"/>
  <c r="G107" i="1"/>
  <c r="H106" i="1"/>
  <c r="G106" i="1"/>
  <c r="J105" i="1"/>
  <c r="H105" i="1"/>
  <c r="G105" i="1"/>
  <c r="H104" i="1"/>
  <c r="G104" i="1"/>
  <c r="L103" i="1"/>
  <c r="K103" i="1"/>
  <c r="H103" i="1"/>
  <c r="G103" i="1"/>
  <c r="H102" i="1"/>
  <c r="G102" i="1"/>
  <c r="J101" i="1"/>
  <c r="H101" i="1"/>
  <c r="K101" i="1" s="1"/>
  <c r="L101" i="1" s="1"/>
  <c r="G101" i="1"/>
  <c r="J100" i="1"/>
  <c r="H100" i="1"/>
  <c r="G100" i="1"/>
  <c r="J99" i="1"/>
  <c r="H99" i="1"/>
  <c r="G99" i="1"/>
  <c r="J98" i="1"/>
  <c r="H98" i="1"/>
  <c r="G98" i="1"/>
  <c r="J97" i="1"/>
  <c r="H97" i="1"/>
  <c r="G97" i="1"/>
  <c r="J96" i="1"/>
  <c r="H96" i="1"/>
  <c r="G96" i="1"/>
  <c r="K95" i="1"/>
  <c r="J95" i="1"/>
  <c r="I95" i="1"/>
  <c r="H95" i="1"/>
  <c r="G95" i="1"/>
  <c r="J94" i="1"/>
  <c r="H94" i="1"/>
  <c r="K94" i="1" s="1"/>
  <c r="L94" i="1" s="1"/>
  <c r="G94" i="1"/>
  <c r="J93" i="1"/>
  <c r="H93" i="1"/>
  <c r="K93" i="1" s="1"/>
  <c r="L93" i="1" s="1"/>
  <c r="G93" i="1"/>
  <c r="I91" i="1"/>
  <c r="K91" i="1" s="1"/>
  <c r="G91" i="1"/>
  <c r="K90" i="1"/>
  <c r="I90" i="1"/>
  <c r="G90" i="1"/>
  <c r="M88" i="1"/>
  <c r="P87" i="1"/>
  <c r="O87" i="1"/>
  <c r="H87" i="1"/>
  <c r="G87" i="1"/>
  <c r="P86" i="1"/>
  <c r="O86" i="1"/>
  <c r="I86" i="1"/>
  <c r="H86" i="1"/>
  <c r="G86" i="1"/>
  <c r="P85" i="1"/>
  <c r="O85" i="1"/>
  <c r="J85" i="1"/>
  <c r="H85" i="1"/>
  <c r="K85" i="1" s="1"/>
  <c r="L85" i="1" s="1"/>
  <c r="G85" i="1"/>
  <c r="J84" i="1"/>
  <c r="I84" i="1"/>
  <c r="O84" i="1" s="1"/>
  <c r="P84" i="1" s="1"/>
  <c r="H84" i="1"/>
  <c r="G84" i="1"/>
  <c r="O83" i="1"/>
  <c r="P83" i="1" s="1"/>
  <c r="H83" i="1"/>
  <c r="K83" i="1" s="1"/>
  <c r="G83" i="1"/>
  <c r="P82" i="1"/>
  <c r="O82" i="1"/>
  <c r="H82" i="1"/>
  <c r="G82" i="1"/>
  <c r="P81" i="1"/>
  <c r="O81" i="1"/>
  <c r="H81" i="1"/>
  <c r="G81" i="1"/>
  <c r="P78" i="1"/>
  <c r="O78" i="1"/>
  <c r="K78" i="1"/>
  <c r="J78" i="1"/>
  <c r="H78" i="1"/>
  <c r="G78" i="1"/>
  <c r="P77" i="1"/>
  <c r="O77" i="1"/>
  <c r="K77" i="1"/>
  <c r="J77" i="1"/>
  <c r="H77" i="1"/>
  <c r="G77" i="1"/>
  <c r="P76" i="1"/>
  <c r="O76" i="1"/>
  <c r="H76" i="1"/>
  <c r="G76" i="1"/>
  <c r="P75" i="1"/>
  <c r="O75" i="1"/>
  <c r="H75" i="1"/>
  <c r="G75" i="1"/>
  <c r="P74" i="1"/>
  <c r="O74" i="1"/>
  <c r="K74" i="1"/>
  <c r="J74" i="1"/>
  <c r="H74" i="1"/>
  <c r="G74" i="1"/>
  <c r="P73" i="1"/>
  <c r="O73" i="1"/>
  <c r="H73" i="1"/>
  <c r="G73" i="1"/>
  <c r="P72" i="1"/>
  <c r="O72" i="1"/>
  <c r="H72" i="1"/>
  <c r="G72" i="1"/>
  <c r="P71" i="1"/>
  <c r="O71" i="1"/>
  <c r="K71" i="1"/>
  <c r="J71" i="1"/>
  <c r="H71" i="1"/>
  <c r="G71" i="1"/>
  <c r="P70" i="1"/>
  <c r="O70" i="1"/>
  <c r="H70" i="1"/>
  <c r="G70" i="1"/>
  <c r="P69" i="1"/>
  <c r="O69" i="1"/>
  <c r="H69" i="1"/>
  <c r="G69" i="1"/>
  <c r="P68" i="1"/>
  <c r="O68" i="1"/>
  <c r="H68" i="1"/>
  <c r="G68" i="1"/>
  <c r="P67" i="1"/>
  <c r="O67" i="1"/>
  <c r="K67" i="1"/>
  <c r="J67" i="1"/>
  <c r="H67" i="1"/>
  <c r="G67" i="1"/>
  <c r="P66" i="1"/>
  <c r="O66" i="1"/>
  <c r="H66" i="1"/>
  <c r="G66" i="1"/>
  <c r="P65" i="1"/>
  <c r="O65" i="1"/>
  <c r="H65" i="1"/>
  <c r="G65" i="1"/>
  <c r="M62" i="1"/>
  <c r="J62" i="1"/>
  <c r="I62" i="1"/>
  <c r="O62" i="1" s="1"/>
  <c r="P62" i="1" s="1"/>
  <c r="H62" i="1"/>
  <c r="K62" i="1" s="1"/>
  <c r="L62" i="1" s="1"/>
  <c r="G62" i="1"/>
  <c r="O61" i="1"/>
  <c r="P61" i="1" s="1"/>
  <c r="J61" i="1"/>
  <c r="I61" i="1"/>
  <c r="H61" i="1"/>
  <c r="K61" i="1" s="1"/>
  <c r="G61" i="1"/>
  <c r="P60" i="1"/>
  <c r="K60" i="1"/>
  <c r="J60" i="1"/>
  <c r="I60" i="1"/>
  <c r="O60" i="1" s="1"/>
  <c r="H60" i="1"/>
  <c r="G60" i="1"/>
  <c r="O59" i="1"/>
  <c r="P59" i="1" s="1"/>
  <c r="J59" i="1"/>
  <c r="I59" i="1"/>
  <c r="H59" i="1"/>
  <c r="K59" i="1" s="1"/>
  <c r="G59" i="1"/>
  <c r="I58" i="1"/>
  <c r="O58" i="1" s="1"/>
  <c r="P58" i="1" s="1"/>
  <c r="H58" i="1"/>
  <c r="G58" i="1"/>
  <c r="K57" i="1"/>
  <c r="J57" i="1"/>
  <c r="I57" i="1"/>
  <c r="H57" i="1"/>
  <c r="G57" i="1"/>
  <c r="O56" i="1"/>
  <c r="P56" i="1" s="1"/>
  <c r="L56" i="1"/>
  <c r="J56" i="1"/>
  <c r="I56" i="1"/>
  <c r="H56" i="1"/>
  <c r="K56" i="1" s="1"/>
  <c r="M56" i="1" s="1"/>
  <c r="G56" i="1"/>
  <c r="J55" i="1"/>
  <c r="I55" i="1"/>
  <c r="H55" i="1"/>
  <c r="G55" i="1"/>
  <c r="O54" i="1"/>
  <c r="P54" i="1" s="1"/>
  <c r="J54" i="1"/>
  <c r="I54" i="1"/>
  <c r="H54" i="1"/>
  <c r="K54" i="1" s="1"/>
  <c r="G54" i="1"/>
  <c r="L54" i="1" s="1"/>
  <c r="L53" i="1"/>
  <c r="J53" i="1"/>
  <c r="I53" i="1"/>
  <c r="K53" i="1" s="1"/>
  <c r="G53" i="1"/>
  <c r="I52" i="1"/>
  <c r="K52" i="1" s="1"/>
  <c r="M52" i="1" s="1"/>
  <c r="G52" i="1"/>
  <c r="P51" i="1"/>
  <c r="K51" i="1"/>
  <c r="J51" i="1"/>
  <c r="I51" i="1"/>
  <c r="O51" i="1" s="1"/>
  <c r="G51" i="1"/>
  <c r="P50" i="1"/>
  <c r="K50" i="1"/>
  <c r="J50" i="1"/>
  <c r="I50" i="1"/>
  <c r="O50" i="1" s="1"/>
  <c r="G50" i="1"/>
  <c r="O47" i="1"/>
  <c r="P47" i="1" s="1"/>
  <c r="J47" i="1"/>
  <c r="H47" i="1"/>
  <c r="K47" i="1" s="1"/>
  <c r="L47" i="1" s="1"/>
  <c r="G47" i="1"/>
  <c r="O46" i="1"/>
  <c r="P46" i="1" s="1"/>
  <c r="M46" i="1"/>
  <c r="J46" i="1"/>
  <c r="H46" i="1"/>
  <c r="K46" i="1" s="1"/>
  <c r="L46" i="1" s="1"/>
  <c r="G46" i="1"/>
  <c r="O45" i="1"/>
  <c r="P45" i="1" s="1"/>
  <c r="M45" i="1"/>
  <c r="J45" i="1"/>
  <c r="H45" i="1"/>
  <c r="K45" i="1" s="1"/>
  <c r="L45" i="1" s="1"/>
  <c r="G45" i="1"/>
  <c r="O44" i="1"/>
  <c r="P44" i="1" s="1"/>
  <c r="J44" i="1"/>
  <c r="H44" i="1"/>
  <c r="K44" i="1" s="1"/>
  <c r="L44" i="1" s="1"/>
  <c r="G44" i="1"/>
  <c r="O43" i="1"/>
  <c r="P43" i="1" s="1"/>
  <c r="J43" i="1"/>
  <c r="H43" i="1"/>
  <c r="K43" i="1" s="1"/>
  <c r="L43" i="1" s="1"/>
  <c r="G43" i="1"/>
  <c r="O42" i="1"/>
  <c r="P42" i="1" s="1"/>
  <c r="M42" i="1"/>
  <c r="J42" i="1"/>
  <c r="H42" i="1"/>
  <c r="K42" i="1" s="1"/>
  <c r="L42" i="1" s="1"/>
  <c r="G42" i="1"/>
  <c r="O41" i="1"/>
  <c r="P41" i="1" s="1"/>
  <c r="M41" i="1"/>
  <c r="J41" i="1"/>
  <c r="H41" i="1"/>
  <c r="K41" i="1" s="1"/>
  <c r="L41" i="1" s="1"/>
  <c r="G41" i="1"/>
  <c r="O40" i="1"/>
  <c r="P40" i="1" s="1"/>
  <c r="J40" i="1"/>
  <c r="H40" i="1"/>
  <c r="K40" i="1" s="1"/>
  <c r="L40" i="1" s="1"/>
  <c r="G40" i="1"/>
  <c r="O39" i="1"/>
  <c r="P39" i="1" s="1"/>
  <c r="J39" i="1"/>
  <c r="H39" i="1"/>
  <c r="K39" i="1" s="1"/>
  <c r="L39" i="1" s="1"/>
  <c r="G39" i="1"/>
  <c r="O38" i="1"/>
  <c r="P38" i="1" s="1"/>
  <c r="M38" i="1"/>
  <c r="J38" i="1"/>
  <c r="H38" i="1"/>
  <c r="K38" i="1" s="1"/>
  <c r="L38" i="1" s="1"/>
  <c r="G38" i="1"/>
  <c r="O37" i="1"/>
  <c r="P37" i="1" s="1"/>
  <c r="M37" i="1"/>
  <c r="J37" i="1"/>
  <c r="H37" i="1"/>
  <c r="K37" i="1" s="1"/>
  <c r="L37" i="1" s="1"/>
  <c r="G37" i="1"/>
  <c r="J36" i="1"/>
  <c r="K36" i="1" s="1"/>
  <c r="M36" i="1" s="1"/>
  <c r="H36" i="1"/>
  <c r="O35" i="1"/>
  <c r="P35" i="1" s="1"/>
  <c r="J35" i="1"/>
  <c r="H35" i="1"/>
  <c r="G35" i="1"/>
  <c r="O34" i="1"/>
  <c r="P34" i="1" s="1"/>
  <c r="J34" i="1"/>
  <c r="H34" i="1"/>
  <c r="G34" i="1"/>
  <c r="O33" i="1"/>
  <c r="P33" i="1" s="1"/>
  <c r="J33" i="1"/>
  <c r="H33" i="1"/>
  <c r="K33" i="1" s="1"/>
  <c r="L33" i="1" s="1"/>
  <c r="G33" i="1"/>
  <c r="O32" i="1"/>
  <c r="P32" i="1" s="1"/>
  <c r="J32" i="1"/>
  <c r="H32" i="1"/>
  <c r="K32" i="1" s="1"/>
  <c r="L32" i="1" s="1"/>
  <c r="G32" i="1"/>
  <c r="O31" i="1"/>
  <c r="P31" i="1" s="1"/>
  <c r="J31" i="1"/>
  <c r="H31" i="1"/>
  <c r="G31" i="1"/>
  <c r="O30" i="1"/>
  <c r="P30" i="1" s="1"/>
  <c r="M30" i="1"/>
  <c r="J30" i="1"/>
  <c r="H30" i="1"/>
  <c r="K30" i="1" s="1"/>
  <c r="L30" i="1" s="1"/>
  <c r="G30" i="1"/>
  <c r="O29" i="1"/>
  <c r="P29" i="1" s="1"/>
  <c r="J29" i="1"/>
  <c r="H29" i="1"/>
  <c r="K29" i="1" s="1"/>
  <c r="L29" i="1" s="1"/>
  <c r="G29" i="1"/>
  <c r="P26" i="1"/>
  <c r="O26" i="1"/>
  <c r="K26" i="1"/>
  <c r="J26" i="1"/>
  <c r="H26" i="1"/>
  <c r="G26" i="1"/>
  <c r="L26" i="1" s="1"/>
  <c r="P25" i="1"/>
  <c r="O25" i="1"/>
  <c r="K25" i="1"/>
  <c r="M25" i="1" s="1"/>
  <c r="J25" i="1"/>
  <c r="G25" i="1"/>
  <c r="O24" i="1"/>
  <c r="P24" i="1" s="1"/>
  <c r="J24" i="1"/>
  <c r="K24" i="1" s="1"/>
  <c r="H24" i="1"/>
  <c r="G24" i="1"/>
  <c r="O23" i="1"/>
  <c r="P23" i="1" s="1"/>
  <c r="J23" i="1"/>
  <c r="K23" i="1" s="1"/>
  <c r="G23" i="1"/>
  <c r="O22" i="1"/>
  <c r="P22" i="1" s="1"/>
  <c r="J22" i="1"/>
  <c r="I22" i="1"/>
  <c r="H22" i="1"/>
  <c r="G22" i="1"/>
  <c r="P21" i="1"/>
  <c r="O21" i="1"/>
  <c r="J21" i="1"/>
  <c r="K21" i="1" s="1"/>
  <c r="I21" i="1"/>
  <c r="H21" i="1"/>
  <c r="G21" i="1"/>
  <c r="P20" i="1"/>
  <c r="O20" i="1"/>
  <c r="K20" i="1"/>
  <c r="M20" i="1" s="1"/>
  <c r="J20" i="1"/>
  <c r="I20" i="1"/>
  <c r="G20" i="1"/>
  <c r="P19" i="1"/>
  <c r="O19" i="1"/>
  <c r="J19" i="1"/>
  <c r="I19" i="1"/>
  <c r="H19" i="1"/>
  <c r="K19" i="1" s="1"/>
  <c r="G19" i="1"/>
  <c r="P18" i="1"/>
  <c r="O18" i="1"/>
  <c r="K18" i="1"/>
  <c r="J18" i="1"/>
  <c r="G18" i="1"/>
  <c r="L18" i="1" s="1"/>
  <c r="P17" i="1"/>
  <c r="O17" i="1"/>
  <c r="K17" i="1"/>
  <c r="M17" i="1" s="1"/>
  <c r="J17" i="1"/>
  <c r="H17" i="1"/>
  <c r="G17" i="1"/>
  <c r="P16" i="1"/>
  <c r="O16" i="1"/>
  <c r="K16" i="1"/>
  <c r="M16" i="1" s="1"/>
  <c r="J16" i="1"/>
  <c r="G16" i="1"/>
  <c r="O15" i="1"/>
  <c r="P15" i="1" s="1"/>
  <c r="K15" i="1"/>
  <c r="J15" i="1"/>
  <c r="H15" i="1"/>
  <c r="G15" i="1"/>
  <c r="J14" i="1"/>
  <c r="I14" i="1"/>
  <c r="O14" i="1" s="1"/>
  <c r="P14" i="1" s="1"/>
  <c r="G14" i="1"/>
  <c r="O13" i="1"/>
  <c r="P13" i="1" s="1"/>
  <c r="J13" i="1"/>
  <c r="H13" i="1"/>
  <c r="K13" i="1" s="1"/>
  <c r="G13" i="1"/>
  <c r="O12" i="1"/>
  <c r="P12" i="1" s="1"/>
  <c r="K12" i="1"/>
  <c r="L12" i="1" s="1"/>
  <c r="J12" i="1"/>
  <c r="G12" i="1"/>
  <c r="O11" i="1"/>
  <c r="P11" i="1" s="1"/>
  <c r="M11" i="1"/>
  <c r="J11" i="1"/>
  <c r="K11" i="1" s="1"/>
  <c r="L11" i="1" s="1"/>
  <c r="G11" i="1"/>
  <c r="P10" i="1"/>
  <c r="O10" i="1"/>
  <c r="K10" i="1"/>
  <c r="M10" i="1" s="1"/>
  <c r="J10" i="1"/>
  <c r="G10" i="1"/>
  <c r="O9" i="1"/>
  <c r="P9" i="1" s="1"/>
  <c r="J9" i="1"/>
  <c r="K9" i="1" s="1"/>
  <c r="I9" i="1"/>
  <c r="H9" i="1"/>
  <c r="G9" i="1"/>
  <c r="K8" i="1"/>
  <c r="L8" i="1" s="1"/>
  <c r="J8" i="1"/>
  <c r="I8" i="1"/>
  <c r="O8" i="1" s="1"/>
  <c r="P8" i="1" s="1"/>
  <c r="G8" i="1"/>
  <c r="P7" i="1"/>
  <c r="O7" i="1"/>
  <c r="K7" i="1"/>
  <c r="L7" i="1" s="1"/>
  <c r="J7" i="1"/>
  <c r="H7" i="1"/>
  <c r="G7" i="1"/>
  <c r="J6" i="1"/>
  <c r="H6" i="1"/>
  <c r="G6" i="1"/>
  <c r="J5" i="1"/>
  <c r="I5" i="1"/>
  <c r="I97" i="1" s="1"/>
  <c r="H5" i="1"/>
  <c r="K5" i="1" s="1"/>
  <c r="G5" i="1"/>
  <c r="J4" i="1"/>
  <c r="I4" i="1"/>
  <c r="I96" i="1" s="1"/>
  <c r="G4" i="1"/>
  <c r="A1" i="1"/>
  <c r="M24" i="1" l="1"/>
  <c r="L24" i="1"/>
  <c r="M9" i="1"/>
  <c r="L9" i="1"/>
  <c r="L13" i="1"/>
  <c r="M13" i="1"/>
  <c r="M19" i="1"/>
  <c r="L19" i="1"/>
  <c r="M21" i="1"/>
  <c r="L21" i="1"/>
  <c r="M23" i="1"/>
  <c r="L23" i="1"/>
  <c r="L5" i="1"/>
  <c r="M5" i="1"/>
  <c r="M18" i="1"/>
  <c r="M50" i="1"/>
  <c r="L50" i="1"/>
  <c r="M15" i="1"/>
  <c r="L15" i="1"/>
  <c r="O4" i="1"/>
  <c r="P4" i="1" s="1"/>
  <c r="L10" i="1"/>
  <c r="M12" i="1"/>
  <c r="L17" i="1"/>
  <c r="L25" i="1"/>
  <c r="M51" i="1"/>
  <c r="L51" i="1"/>
  <c r="L52" i="1"/>
  <c r="K4" i="1"/>
  <c r="O5" i="1"/>
  <c r="P5" i="1" s="1"/>
  <c r="I6" i="1"/>
  <c r="M7" i="1"/>
  <c r="M8" i="1"/>
  <c r="K14" i="1"/>
  <c r="L16" i="1"/>
  <c r="K22" i="1"/>
  <c r="M32" i="1"/>
  <c r="M39" i="1"/>
  <c r="M43" i="1"/>
  <c r="M47" i="1"/>
  <c r="O55" i="1"/>
  <c r="P55" i="1" s="1"/>
  <c r="K55" i="1"/>
  <c r="K97" i="1"/>
  <c r="L97" i="1" s="1"/>
  <c r="I98" i="1"/>
  <c r="I99" i="1" s="1"/>
  <c r="K99" i="1" s="1"/>
  <c r="L99" i="1" s="1"/>
  <c r="E165" i="1"/>
  <c r="L20" i="1"/>
  <c r="M26" i="1"/>
  <c r="M29" i="1"/>
  <c r="K31" i="1"/>
  <c r="M33" i="1"/>
  <c r="K35" i="1"/>
  <c r="K34" i="1"/>
  <c r="M40" i="1"/>
  <c r="M44" i="1"/>
  <c r="M53" i="1"/>
  <c r="M59" i="1"/>
  <c r="L59" i="1"/>
  <c r="M61" i="1"/>
  <c r="L61" i="1"/>
  <c r="M71" i="1"/>
  <c r="L71" i="1"/>
  <c r="M74" i="1"/>
  <c r="L74" i="1"/>
  <c r="M77" i="1"/>
  <c r="L77" i="1"/>
  <c r="M83" i="1"/>
  <c r="L83" i="1"/>
  <c r="L149" i="1"/>
  <c r="M54" i="1"/>
  <c r="M60" i="1"/>
  <c r="L60" i="1"/>
  <c r="M91" i="1"/>
  <c r="L91" i="1"/>
  <c r="L95" i="1"/>
  <c r="O52" i="1"/>
  <c r="P52" i="1" s="1"/>
  <c r="O53" i="1"/>
  <c r="P53" i="1" s="1"/>
  <c r="M57" i="1"/>
  <c r="M78" i="1"/>
  <c r="L78" i="1"/>
  <c r="M85" i="1"/>
  <c r="K86" i="1"/>
  <c r="K118" i="1"/>
  <c r="L118" i="1" s="1"/>
  <c r="M145" i="1"/>
  <c r="M157" i="1"/>
  <c r="L157" i="1" s="1"/>
  <c r="J124" i="1"/>
  <c r="K124" i="1" s="1"/>
  <c r="L124" i="1" s="1"/>
  <c r="J116" i="1"/>
  <c r="K116" i="1" s="1"/>
  <c r="L116" i="1" s="1"/>
  <c r="J104" i="1"/>
  <c r="K104" i="1" s="1"/>
  <c r="L104" i="1" s="1"/>
  <c r="J76" i="1"/>
  <c r="K76" i="1" s="1"/>
  <c r="J75" i="1"/>
  <c r="K75" i="1" s="1"/>
  <c r="J73" i="1"/>
  <c r="K73" i="1" s="1"/>
  <c r="J72" i="1"/>
  <c r="K72" i="1" s="1"/>
  <c r="J70" i="1"/>
  <c r="K70" i="1" s="1"/>
  <c r="J69" i="1"/>
  <c r="K69" i="1" s="1"/>
  <c r="J68" i="1"/>
  <c r="K68" i="1" s="1"/>
  <c r="J66" i="1"/>
  <c r="K66" i="1" s="1"/>
  <c r="J65" i="1"/>
  <c r="K65" i="1" s="1"/>
  <c r="J134" i="1"/>
  <c r="K134" i="1" s="1"/>
  <c r="L134" i="1" s="1"/>
  <c r="J131" i="1"/>
  <c r="K131" i="1" s="1"/>
  <c r="L131" i="1" s="1"/>
  <c r="J123" i="1"/>
  <c r="K123" i="1" s="1"/>
  <c r="L123" i="1" s="1"/>
  <c r="J107" i="1"/>
  <c r="K107" i="1" s="1"/>
  <c r="L107" i="1" s="1"/>
  <c r="J102" i="1"/>
  <c r="K102" i="1" s="1"/>
  <c r="L102" i="1" s="1"/>
  <c r="J87" i="1"/>
  <c r="K87" i="1" s="1"/>
  <c r="J86" i="1"/>
  <c r="E176" i="1"/>
  <c r="G176" i="1" s="1"/>
  <c r="J133" i="1"/>
  <c r="K133" i="1" s="1"/>
  <c r="L133" i="1" s="1"/>
  <c r="J122" i="1"/>
  <c r="K122" i="1" s="1"/>
  <c r="L122" i="1" s="1"/>
  <c r="J118" i="1"/>
  <c r="J110" i="1"/>
  <c r="K110" i="1" s="1"/>
  <c r="L110" i="1" s="1"/>
  <c r="J106" i="1"/>
  <c r="K106" i="1" s="1"/>
  <c r="L106" i="1" s="1"/>
  <c r="J82" i="1"/>
  <c r="J81" i="1"/>
  <c r="K81" i="1" s="1"/>
  <c r="J58" i="1"/>
  <c r="K58" i="1" s="1"/>
  <c r="E177" i="1"/>
  <c r="M67" i="1"/>
  <c r="L67" i="1"/>
  <c r="K82" i="1"/>
  <c r="K84" i="1"/>
  <c r="M90" i="1"/>
  <c r="L90" i="1"/>
  <c r="K96" i="1"/>
  <c r="L96" i="1" s="1"/>
  <c r="K98" i="1"/>
  <c r="L98" i="1" s="1"/>
  <c r="K100" i="1"/>
  <c r="L100" i="1" s="1"/>
  <c r="K105" i="1"/>
  <c r="L105" i="1" s="1"/>
  <c r="K109" i="1"/>
  <c r="L109" i="1" s="1"/>
  <c r="K117" i="1"/>
  <c r="L117" i="1" s="1"/>
  <c r="M150" i="1"/>
  <c r="L150" i="1" s="1"/>
  <c r="M152" i="1"/>
  <c r="L152" i="1" s="1"/>
  <c r="G177" i="1"/>
  <c r="J126" i="1"/>
  <c r="K126" i="1" s="1"/>
  <c r="L126" i="1" s="1"/>
  <c r="J147" i="1"/>
  <c r="K147" i="1" s="1"/>
  <c r="M147" i="1" s="1"/>
  <c r="L147" i="1" s="1"/>
  <c r="J151" i="1"/>
  <c r="K151" i="1" s="1"/>
  <c r="M151" i="1" s="1"/>
  <c r="L151" i="1" s="1"/>
  <c r="J155" i="1"/>
  <c r="K155" i="1" s="1"/>
  <c r="M155" i="1" s="1"/>
  <c r="L155" i="1" s="1"/>
  <c r="E172" i="1"/>
  <c r="G172" i="1" s="1"/>
  <c r="E180" i="1"/>
  <c r="G180" i="1" s="1"/>
  <c r="J127" i="1"/>
  <c r="K127" i="1" s="1"/>
  <c r="L127" i="1" s="1"/>
  <c r="J148" i="1"/>
  <c r="K148" i="1" s="1"/>
  <c r="M148" i="1" s="1"/>
  <c r="J152" i="1"/>
  <c r="K152" i="1" s="1"/>
  <c r="J156" i="1"/>
  <c r="K156" i="1" s="1"/>
  <c r="M156" i="1" s="1"/>
  <c r="L156" i="1" s="1"/>
  <c r="E171" i="1"/>
  <c r="G171" i="1" s="1"/>
  <c r="E175" i="1"/>
  <c r="G175" i="1" s="1"/>
  <c r="L148" i="1" l="1"/>
  <c r="K167" i="1"/>
  <c r="E167" i="1" s="1"/>
  <c r="L81" i="1"/>
  <c r="M79" i="1"/>
  <c r="M81" i="1"/>
  <c r="L58" i="1"/>
  <c r="M58" i="1"/>
  <c r="M48" i="1"/>
  <c r="M69" i="1"/>
  <c r="L69" i="1"/>
  <c r="M75" i="1"/>
  <c r="L75" i="1"/>
  <c r="M86" i="1"/>
  <c r="L86" i="1"/>
  <c r="L34" i="1"/>
  <c r="M34" i="1"/>
  <c r="L4" i="1"/>
  <c r="M2" i="1"/>
  <c r="M4" i="1"/>
  <c r="L84" i="1"/>
  <c r="M84" i="1"/>
  <c r="L82" i="1"/>
  <c r="M82" i="1"/>
  <c r="M63" i="1"/>
  <c r="M65" i="1"/>
  <c r="L65" i="1"/>
  <c r="L35" i="1"/>
  <c r="M35" i="1"/>
  <c r="M27" i="1"/>
  <c r="L22" i="1"/>
  <c r="M22" i="1"/>
  <c r="M76" i="1"/>
  <c r="L76" i="1"/>
  <c r="M66" i="1"/>
  <c r="L66" i="1"/>
  <c r="M72" i="1"/>
  <c r="L72" i="1"/>
  <c r="O6" i="1"/>
  <c r="P6" i="1" s="1"/>
  <c r="K6" i="1"/>
  <c r="M70" i="1"/>
  <c r="L70" i="1"/>
  <c r="M87" i="1"/>
  <c r="L87" i="1"/>
  <c r="M68" i="1"/>
  <c r="L68" i="1"/>
  <c r="M73" i="1"/>
  <c r="L73" i="1"/>
  <c r="L145" i="1"/>
  <c r="M92" i="1"/>
  <c r="L31" i="1"/>
  <c r="M31" i="1"/>
  <c r="L55" i="1"/>
  <c r="M55" i="1"/>
  <c r="M14" i="1"/>
  <c r="L14" i="1"/>
  <c r="M6" i="1" l="1"/>
  <c r="L6" i="1"/>
  <c r="P166" i="1"/>
  <c r="K165" i="1"/>
  <c r="K166" i="1" s="1"/>
  <c r="P165" i="1" l="1"/>
  <c r="K168" i="1" l="1"/>
  <c r="E168" i="1" s="1"/>
  <c r="P88" i="1" s="1"/>
  <c r="P92" i="1"/>
  <c r="P63" i="1"/>
  <c r="P48" i="1"/>
  <c r="P2" i="1"/>
  <c r="P27" i="1"/>
  <c r="P79" i="1"/>
  <c r="P167" i="1"/>
  <c r="P168" i="1" l="1"/>
</calcChain>
</file>

<file path=xl/sharedStrings.xml><?xml version="1.0" encoding="utf-8"?>
<sst xmlns="http://schemas.openxmlformats.org/spreadsheetml/2006/main" count="554" uniqueCount="352">
  <si>
    <t>Big/ Mid Tier Precious Metals Miners, Physical Metals &amp; Royalty's (10-15 open postions)</t>
  </si>
  <si>
    <t>Allocation</t>
  </si>
  <si>
    <t>Investment</t>
  </si>
  <si>
    <t>Ticker</t>
  </si>
  <si>
    <t>Buy date</t>
  </si>
  <si>
    <t>Shares</t>
  </si>
  <si>
    <t>exch. rate buy</t>
  </si>
  <si>
    <t>Buy price</t>
  </si>
  <si>
    <t>Euro spent</t>
  </si>
  <si>
    <t>Price now</t>
  </si>
  <si>
    <t>Dividends</t>
  </si>
  <si>
    <t>exch. Rate now</t>
  </si>
  <si>
    <t>Euro now</t>
  </si>
  <si>
    <t>Return%</t>
  </si>
  <si>
    <t>Return€</t>
  </si>
  <si>
    <t>high</t>
  </si>
  <si>
    <t>Stop</t>
  </si>
  <si>
    <t>S.S.I.</t>
  </si>
  <si>
    <t>1. Sandstorm Gold ltd</t>
  </si>
  <si>
    <t>SAND</t>
  </si>
  <si>
    <t>1a. Sandstorm Gold ltd</t>
  </si>
  <si>
    <t>1b. Sandstorm Gold ltd</t>
  </si>
  <si>
    <t>1g. Sandstorm Gold ltd</t>
  </si>
  <si>
    <t>2. Wheathon Precious Metals</t>
  </si>
  <si>
    <t>WPM</t>
  </si>
  <si>
    <t xml:space="preserve">4.VOX Royalty Corp </t>
  </si>
  <si>
    <t>VOX</t>
  </si>
  <si>
    <t>5. Silvercrest Metals Inc</t>
  </si>
  <si>
    <t>SILV</t>
  </si>
  <si>
    <t>6. Sprott Physical Silver Trust</t>
  </si>
  <si>
    <t>PSLV</t>
  </si>
  <si>
    <t>7. Sprott Physical Platina &amp; Pal Trust</t>
  </si>
  <si>
    <t>SPPP</t>
  </si>
  <si>
    <t>8. Empress Royalty Corp</t>
  </si>
  <si>
    <t>EMPR</t>
  </si>
  <si>
    <t>9. Gold Royalty Corp (+ ELY)</t>
  </si>
  <si>
    <t>GROY</t>
  </si>
  <si>
    <t>9a. Gold Royalty Corp</t>
  </si>
  <si>
    <t>10. Metalla Royalty Corp</t>
  </si>
  <si>
    <t>MTA</t>
  </si>
  <si>
    <t>10a. Metalla Royalty Corp</t>
  </si>
  <si>
    <t>11. Endeavour Silver Corp</t>
  </si>
  <si>
    <t>EXK</t>
  </si>
  <si>
    <t>12. Sailfish Royalties Corp</t>
  </si>
  <si>
    <t>FISH</t>
  </si>
  <si>
    <t>13. Sibayne Stillwater Ltd</t>
  </si>
  <si>
    <t>SBSW</t>
  </si>
  <si>
    <t>13a. Sibayne Stillwater Ltd</t>
  </si>
  <si>
    <t>13b. Sibayne Stillwater Ltd</t>
  </si>
  <si>
    <t>14. First Majestic Silver</t>
  </si>
  <si>
    <t>AG</t>
  </si>
  <si>
    <t>14d. First Majestic Silver</t>
  </si>
  <si>
    <t>15. EMX Royalty Corp</t>
  </si>
  <si>
    <t>EMX</t>
  </si>
  <si>
    <t>16. Elemental Altus Royalties</t>
  </si>
  <si>
    <t>ELE</t>
  </si>
  <si>
    <t>Golden eggs Basket (15-20 open positions)</t>
  </si>
  <si>
    <t xml:space="preserve">1.Tudor Gold Corp </t>
  </si>
  <si>
    <t>TUD^</t>
  </si>
  <si>
    <t>7.Silver Viper Minerals</t>
  </si>
  <si>
    <t>VIPR</t>
  </si>
  <si>
    <t>12. Fortune Bay Corp</t>
  </si>
  <si>
    <t>FOR</t>
  </si>
  <si>
    <t>15. Reyna Silver Corp</t>
  </si>
  <si>
    <t>RSLV</t>
  </si>
  <si>
    <t>18. Ascot Resources</t>
  </si>
  <si>
    <t>AOT^</t>
  </si>
  <si>
    <t>20. Silver One Resources Inc</t>
  </si>
  <si>
    <t>SVE</t>
  </si>
  <si>
    <t>21. First Mining Gold Corp</t>
  </si>
  <si>
    <t>FF</t>
  </si>
  <si>
    <t>21 a. Treasure Metals Inc</t>
  </si>
  <si>
    <t>TML</t>
  </si>
  <si>
    <t>SPIN OUT</t>
  </si>
  <si>
    <t>22. NuLegacy Gold</t>
  </si>
  <si>
    <t>NUG</t>
  </si>
  <si>
    <t>23. Novo Resources</t>
  </si>
  <si>
    <t>NVO</t>
  </si>
  <si>
    <t>24. Firefox Gold Corp</t>
  </si>
  <si>
    <t>FFOX</t>
  </si>
  <si>
    <t xml:space="preserve">25. Blackrock Silver </t>
  </si>
  <si>
    <t>BRC</t>
  </si>
  <si>
    <t>26. Lion One Metals</t>
  </si>
  <si>
    <t>LIO</t>
  </si>
  <si>
    <t>27. Kuya Silver Corp</t>
  </si>
  <si>
    <t>KUYAF</t>
  </si>
  <si>
    <t>28. Eskay Mining</t>
  </si>
  <si>
    <t>ESK</t>
  </si>
  <si>
    <t>29. Cabral Gold</t>
  </si>
  <si>
    <t>CBR</t>
  </si>
  <si>
    <t>30. Discovery Silver Corp</t>
  </si>
  <si>
    <t>DSV</t>
  </si>
  <si>
    <t>31. Finlay Minerals Ltd</t>
  </si>
  <si>
    <t>FYL</t>
  </si>
  <si>
    <t>32. Cassair Gold</t>
  </si>
  <si>
    <t>GLDC</t>
  </si>
  <si>
    <t>Boring Dividend Income (10-15 open positions)</t>
  </si>
  <si>
    <t>1. Gamco Global G&amp;Nat res</t>
  </si>
  <si>
    <t>GGN</t>
  </si>
  <si>
    <t>3. Altria</t>
  </si>
  <si>
    <t>MO</t>
  </si>
  <si>
    <t>5. Royal Dutch Shell</t>
  </si>
  <si>
    <t>SHELL</t>
  </si>
  <si>
    <t>6. Icahn Enterprises LP</t>
  </si>
  <si>
    <t>IEP</t>
  </si>
  <si>
    <t>7. Vale</t>
  </si>
  <si>
    <t>VALE</t>
  </si>
  <si>
    <t>8. Rio Tinto</t>
  </si>
  <si>
    <t>RIO</t>
  </si>
  <si>
    <t>9. BHP Group</t>
  </si>
  <si>
    <t>BHP</t>
  </si>
  <si>
    <t>9a. Woodside Energy</t>
  </si>
  <si>
    <t>WDS</t>
  </si>
  <si>
    <t>MERGER</t>
  </si>
  <si>
    <t>10. Freehold Royalties Ltd</t>
  </si>
  <si>
    <t>FRU</t>
  </si>
  <si>
    <t>11. MPLX LP</t>
  </si>
  <si>
    <t>MPLX</t>
  </si>
  <si>
    <t>12. Viper Energy Partners LP</t>
  </si>
  <si>
    <t>VNOM</t>
  </si>
  <si>
    <t>13. Black Stone Minerals</t>
  </si>
  <si>
    <t>BSM</t>
  </si>
  <si>
    <t>14. Petrobras</t>
  </si>
  <si>
    <t>PBR</t>
  </si>
  <si>
    <t>Uranium (10-15 open positions)</t>
  </si>
  <si>
    <t>10. Encore Energy Corp</t>
  </si>
  <si>
    <t>EU</t>
  </si>
  <si>
    <t>16. Fission Uranium Corp</t>
  </si>
  <si>
    <t>FCU</t>
  </si>
  <si>
    <t>18. Deep Yellow Ltd</t>
  </si>
  <si>
    <t>DYL</t>
  </si>
  <si>
    <t>19. Consolidated Uranium (+17. VUI)</t>
  </si>
  <si>
    <t>CUR</t>
  </si>
  <si>
    <t>19a. Labrador Uranium Inc</t>
  </si>
  <si>
    <t>LUR</t>
  </si>
  <si>
    <t>20. Mega Uranium Ltd</t>
  </si>
  <si>
    <t>MGA</t>
  </si>
  <si>
    <t>21. Western Uranium &amp; Vanadium</t>
  </si>
  <si>
    <t>WSTRF</t>
  </si>
  <si>
    <t>22. GoviEx Uranium Ltd</t>
  </si>
  <si>
    <t>GXU</t>
  </si>
  <si>
    <t>23. Laramide Resources Ltd</t>
  </si>
  <si>
    <t>LAM</t>
  </si>
  <si>
    <t>8b. Energy Fuels</t>
  </si>
  <si>
    <t>UUUU</t>
  </si>
  <si>
    <t>3b. Uranium Royalty Corp</t>
  </si>
  <si>
    <t>URC</t>
  </si>
  <si>
    <t>7b. Global Atomic</t>
  </si>
  <si>
    <t>GLO</t>
  </si>
  <si>
    <t>13a. Peninsula Energy</t>
  </si>
  <si>
    <t>PEN</t>
  </si>
  <si>
    <t>9a. Bannerman Resources Ltd</t>
  </si>
  <si>
    <t>BMN</t>
  </si>
  <si>
    <t>EV-metals &amp; Base Metals (5-10 open positions)</t>
  </si>
  <si>
    <t>6. Nova Royalty Corp</t>
  </si>
  <si>
    <t>NOVR</t>
  </si>
  <si>
    <t>7. Electric Royalties Ltd</t>
  </si>
  <si>
    <t>ELEC</t>
  </si>
  <si>
    <t>9. Brixton Metals</t>
  </si>
  <si>
    <t>BBB</t>
  </si>
  <si>
    <t>10. Atalaya Mining</t>
  </si>
  <si>
    <t>ATYM</t>
  </si>
  <si>
    <t>11. Trilogy Metals</t>
  </si>
  <si>
    <t>TMQ</t>
  </si>
  <si>
    <t>12. Altius Minerals</t>
  </si>
  <si>
    <t>ALS</t>
  </si>
  <si>
    <t>13. Bell Copper</t>
  </si>
  <si>
    <t>BCU</t>
  </si>
  <si>
    <t>Crypto's box, max 10-15 open  positions</t>
  </si>
  <si>
    <t xml:space="preserve">32a. Crypto.com </t>
  </si>
  <si>
    <t>CRO</t>
  </si>
  <si>
    <t>42. Polkadot</t>
  </si>
  <si>
    <t>DOT</t>
  </si>
  <si>
    <t>Free Growth Stocks (FGS) &amp; Free stocks (FS)</t>
  </si>
  <si>
    <t>6. First Majestic Silver</t>
  </si>
  <si>
    <t>precious</t>
  </si>
  <si>
    <t>6a. First Majestic Silver</t>
  </si>
  <si>
    <t>3a</t>
  </si>
  <si>
    <t>8. Franco Nevada</t>
  </si>
  <si>
    <t>FNV</t>
  </si>
  <si>
    <t>9. Sandstorm Gold</t>
  </si>
  <si>
    <t>9a. Sandstorm Gold</t>
  </si>
  <si>
    <t>6a</t>
  </si>
  <si>
    <t>9b. Sandstorm Gold</t>
  </si>
  <si>
    <t>6b</t>
  </si>
  <si>
    <t>9c. Sandstorm Gold</t>
  </si>
  <si>
    <t>6c</t>
  </si>
  <si>
    <t>10. Metella Royalty &amp; Streaming Ltd</t>
  </si>
  <si>
    <t>12.Coeur Mining Inc</t>
  </si>
  <si>
    <t>CDE</t>
  </si>
  <si>
    <t>15. Defiance Silver Corp</t>
  </si>
  <si>
    <t>DEF</t>
  </si>
  <si>
    <t>basket</t>
  </si>
  <si>
    <t>19. First Majestic Silver</t>
  </si>
  <si>
    <t>Precious</t>
  </si>
  <si>
    <t>23. Nexgen Energy</t>
  </si>
  <si>
    <t>NXE^</t>
  </si>
  <si>
    <t xml:space="preserve">bullet </t>
  </si>
  <si>
    <t>24. Uranium Royalty Corp</t>
  </si>
  <si>
    <t>URC^</t>
  </si>
  <si>
    <t>24a. Uranium Royalty Corp</t>
  </si>
  <si>
    <t>2a</t>
  </si>
  <si>
    <t>24b. Uranium Royalty Corp</t>
  </si>
  <si>
    <t>2b</t>
  </si>
  <si>
    <t>26. Ur-Energy Inc</t>
  </si>
  <si>
    <t>URG</t>
  </si>
  <si>
    <t>26a Ur-Energy Inc</t>
  </si>
  <si>
    <t>27. Ivanhoe Mines</t>
  </si>
  <si>
    <t>IVN</t>
  </si>
  <si>
    <t>battery</t>
  </si>
  <si>
    <t>28. Uranium Energy Corp</t>
  </si>
  <si>
    <t>UEC</t>
  </si>
  <si>
    <t>28a. Uranium Energy Corp</t>
  </si>
  <si>
    <t>4a</t>
  </si>
  <si>
    <t>28b. Uranium Energy Corp</t>
  </si>
  <si>
    <t>4b</t>
  </si>
  <si>
    <t>28c. Uranium Energy Corp</t>
  </si>
  <si>
    <t>4c</t>
  </si>
  <si>
    <t>28d. Uranium Energy Corp</t>
  </si>
  <si>
    <t>4d</t>
  </si>
  <si>
    <t>32. Atico Mining Corp</t>
  </si>
  <si>
    <t>ATY^</t>
  </si>
  <si>
    <t>34. Paladin Energy Ltd</t>
  </si>
  <si>
    <t>PDN</t>
  </si>
  <si>
    <t>35. IsoEnergy Ltd</t>
  </si>
  <si>
    <t>ISO^</t>
  </si>
  <si>
    <t>36. Peninsula Energy Inc</t>
  </si>
  <si>
    <t>37. Bannerman Resources ltd</t>
  </si>
  <si>
    <t>38. Anfield Energy Inc</t>
  </si>
  <si>
    <t>AEC</t>
  </si>
  <si>
    <t>40. Vizsla Silver Corp</t>
  </si>
  <si>
    <t>VZLA</t>
  </si>
  <si>
    <t>42. Global Atomic</t>
  </si>
  <si>
    <t>42a. Global Atomic</t>
  </si>
  <si>
    <t>10a</t>
  </si>
  <si>
    <t>43. Energy Fuels</t>
  </si>
  <si>
    <t>43a. Energy Fuels</t>
  </si>
  <si>
    <t>11a</t>
  </si>
  <si>
    <t>43b. Energy Fuels</t>
  </si>
  <si>
    <t>11b</t>
  </si>
  <si>
    <t>44. Denison Mines Corp</t>
  </si>
  <si>
    <t>DNN</t>
  </si>
  <si>
    <t>44a. Denison Mines Corp</t>
  </si>
  <si>
    <t>12a</t>
  </si>
  <si>
    <t>45. Boss Energy Ltd</t>
  </si>
  <si>
    <t>BOE</t>
  </si>
  <si>
    <t>46. Karora Resources</t>
  </si>
  <si>
    <t>KRR</t>
  </si>
  <si>
    <t>Metalla Royalty Corp</t>
  </si>
  <si>
    <t>nvt</t>
  </si>
  <si>
    <t xml:space="preserve">VOX Royalty Corp </t>
  </si>
  <si>
    <t>Goldstorm Metals Corp</t>
  </si>
  <si>
    <t>GSTM</t>
  </si>
  <si>
    <t>Closed positions</t>
  </si>
  <si>
    <t>Results</t>
  </si>
  <si>
    <t>ticker</t>
  </si>
  <si>
    <t>date</t>
  </si>
  <si>
    <t>profit</t>
  </si>
  <si>
    <t>Resultaat 2018-20</t>
  </si>
  <si>
    <t>Resultaat 2021</t>
  </si>
  <si>
    <t>Resultaat 2022</t>
  </si>
  <si>
    <t>Short trades 2022</t>
  </si>
  <si>
    <t>Options 2022</t>
  </si>
  <si>
    <t>Short positions &amp; option trades</t>
  </si>
  <si>
    <t>Sell date</t>
  </si>
  <si>
    <t>exch. rate sell</t>
  </si>
  <si>
    <t>price</t>
  </si>
  <si>
    <t xml:space="preserve">Euro </t>
  </si>
  <si>
    <t>Apple Inc</t>
  </si>
  <si>
    <t>AAPL</t>
  </si>
  <si>
    <t>UNG20250119 put 8</t>
  </si>
  <si>
    <t>UNG</t>
  </si>
  <si>
    <t>UNG20250119 put 9</t>
  </si>
  <si>
    <t>sold</t>
  </si>
  <si>
    <t>UNG20230421 call 8</t>
  </si>
  <si>
    <t>AG20230721 call 7</t>
  </si>
  <si>
    <t>SBSW20240119 call 8</t>
  </si>
  <si>
    <t>AG20250117 pul 7</t>
  </si>
  <si>
    <t>AG20250117 put 7</t>
  </si>
  <si>
    <t>UEC20250117 put 4</t>
  </si>
  <si>
    <t>UUUU20250117 put 7</t>
  </si>
  <si>
    <t>URNM20231215 put 30</t>
  </si>
  <si>
    <t>URNM</t>
  </si>
  <si>
    <t>Currency rates</t>
  </si>
  <si>
    <t>Legenda kleurgebruik</t>
  </si>
  <si>
    <t>Amerikaanse dollar</t>
  </si>
  <si>
    <t>$</t>
  </si>
  <si>
    <t>Aandelen waarvan we 2x of 3x de gewenste hoeveelheid hebben gekocht, deze verkopen we weer bij een geringe winst</t>
  </si>
  <si>
    <t>Canadese dollar</t>
  </si>
  <si>
    <t>CAD</t>
  </si>
  <si>
    <t>Automatisch ge-update prijzen in het excelsheet</t>
  </si>
  <si>
    <t>Australische dollar</t>
  </si>
  <si>
    <t>AUD</t>
  </si>
  <si>
    <t>APY hoeveelheid (vergelijkbaar met dividend op aandelen) bij crypto's</t>
  </si>
  <si>
    <t>Engelse pond</t>
  </si>
  <si>
    <t>£</t>
  </si>
  <si>
    <t>Aandelen die op ons kooplijstje staan om de inkoopprijs te verlagen</t>
  </si>
  <si>
    <t>Aandelen waarmee we handelen en aandelen waarvan FS kunnen krijgen, m.a.w. korte termijn</t>
  </si>
  <si>
    <t>Total Finance</t>
  </si>
  <si>
    <t>CASH SPENT ON STOCKS</t>
  </si>
  <si>
    <t>PROFIT GENERATED/LOST ON STOCKS</t>
  </si>
  <si>
    <t>Capital now</t>
  </si>
  <si>
    <t>STARTCAPITAL 2020</t>
  </si>
  <si>
    <t>PROFIT/LOSS STOCKS IN PORTFOLIO</t>
  </si>
  <si>
    <t>CASH Allocation</t>
  </si>
  <si>
    <t>STARTCAPITAL 2020 + PROFIT STOCKS SOLD</t>
  </si>
  <si>
    <t>PROFIT/LOSS STOCKS SOLD</t>
  </si>
  <si>
    <t>CASH%</t>
  </si>
  <si>
    <t>STARTCAPITAL 2020 + PROFIT STOCKS SOLD+PROFIT PORTFOLIO</t>
  </si>
  <si>
    <t>TOTAL RENDEMENT 2018-21</t>
  </si>
  <si>
    <t>CHECK</t>
  </si>
  <si>
    <t>Watchlist</t>
  </si>
  <si>
    <t>Investment proposal</t>
  </si>
  <si>
    <t>Focus</t>
  </si>
  <si>
    <t>Rec. Exch rate</t>
  </si>
  <si>
    <t>Rec. Price</t>
  </si>
  <si>
    <t>Euro</t>
  </si>
  <si>
    <t>Target</t>
  </si>
  <si>
    <t>Beurs</t>
  </si>
  <si>
    <t>Buy or Sell</t>
  </si>
  <si>
    <t>Remarks &amp; Reason</t>
  </si>
  <si>
    <t>British Tabacco Ltd</t>
  </si>
  <si>
    <t>BATS</t>
  </si>
  <si>
    <t>LSE</t>
  </si>
  <si>
    <t>Buy</t>
  </si>
  <si>
    <t>Buy on a dip on overall market be patient/ Big dividends</t>
  </si>
  <si>
    <t>B2Gold Corporation</t>
  </si>
  <si>
    <t>BTG</t>
  </si>
  <si>
    <t>NYSE</t>
  </si>
  <si>
    <t>Buy on dip in gold/ gold dividend stock</t>
  </si>
  <si>
    <t>Newmont Corporation</t>
  </si>
  <si>
    <t>NEM</t>
  </si>
  <si>
    <t>Fortescue Metals</t>
  </si>
  <si>
    <t>FMG</t>
  </si>
  <si>
    <t>ASX</t>
  </si>
  <si>
    <t>Buy on dip in stock on 200 day SMA/ 23% dividend stock</t>
  </si>
  <si>
    <t>Snowline Gold Corp</t>
  </si>
  <si>
    <t>SGD</t>
  </si>
  <si>
    <t>Buy on recent dip in Gold</t>
  </si>
  <si>
    <t>Star Royalties Ltd</t>
  </si>
  <si>
    <t>STRR</t>
  </si>
  <si>
    <t>TSX</t>
  </si>
  <si>
    <t>BUY</t>
  </si>
  <si>
    <t>Neo Metals</t>
  </si>
  <si>
    <t>NMT</t>
  </si>
  <si>
    <t xml:space="preserve">Buy on dip </t>
  </si>
  <si>
    <t>Largo resources</t>
  </si>
  <si>
    <t>LGO</t>
  </si>
  <si>
    <t>Bushveld Minerals</t>
  </si>
  <si>
    <t>Silver Hammer</t>
  </si>
  <si>
    <t>HAMRF</t>
  </si>
  <si>
    <t>OTC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</si>
</sst>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_([$€-2]\ * #,##0_);_([$€-2]\ * \(#,##0\);_([$€-2]\ * &quot;-&quot;??_);_(@_)"/>
    <numFmt numFmtId="166" formatCode="0.0%"/>
    <numFmt numFmtId="167" formatCode="0.0000"/>
    <numFmt numFmtId="168" formatCode="_(* #,##0.000_);_(* \(#,##0.000\);_(* &quot;-&quot;??_);_(@_)"/>
    <numFmt numFmtId="169" formatCode="_(* #,##0_);_(* \(#,##0\);_(* &quot;-&quot;??_);_(@_)"/>
    <numFmt numFmtId="170" formatCode="_([$€-2]\ * #,##0.00_);_([$€-2]\ * \(#,##0.00\);_([$€-2]\ * &quot;-&quot;??_);_(@_)"/>
    <numFmt numFmtId="171" formatCode="_(* #,##0.0000_);_(* \(#,##0.0000\);_(* &quot;-&quot;??_);_(@_)"/>
    <numFmt numFmtId="172" formatCode="_(&quot;€&quot;\ * #,##0_);_(&quot;€&quot;\ * \(#,##0\);_(&quot;€&quot;\ * &quot;-&quot;??_);_(@_)"/>
    <numFmt numFmtId="173" formatCode="_ [$€-413]\ * #,##0_ ;_ [$€-413]\ * \-#,##0_ ;_ [$€-413]\ * &quot;-&quot;??_ ;_ @_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164" fontId="2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3" fillId="3" borderId="1" xfId="3" applyNumberFormat="1" applyFont="1" applyFill="1" applyBorder="1"/>
    <xf numFmtId="165" fontId="3" fillId="3" borderId="2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9" fontId="3" fillId="3" borderId="1" xfId="3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5" fillId="0" borderId="1" xfId="0" applyFont="1" applyBorder="1"/>
    <xf numFmtId="0" fontId="3" fillId="4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/>
    <xf numFmtId="167" fontId="4" fillId="0" borderId="1" xfId="0" applyNumberFormat="1" applyFont="1" applyBorder="1"/>
    <xf numFmtId="43" fontId="4" fillId="0" borderId="1" xfId="1" applyFont="1" applyBorder="1"/>
    <xf numFmtId="165" fontId="4" fillId="0" borderId="1" xfId="0" applyNumberFormat="1" applyFont="1" applyBorder="1"/>
    <xf numFmtId="2" fontId="6" fillId="4" borderId="5" xfId="0" applyNumberFormat="1" applyFont="1" applyFill="1" applyBorder="1"/>
    <xf numFmtId="2" fontId="4" fillId="0" borderId="1" xfId="0" applyNumberFormat="1" applyFont="1" applyBorder="1"/>
    <xf numFmtId="166" fontId="7" fillId="0" borderId="1" xfId="3" applyNumberFormat="1" applyFont="1" applyBorder="1"/>
    <xf numFmtId="165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/>
    </xf>
    <xf numFmtId="43" fontId="7" fillId="0" borderId="1" xfId="0" applyNumberFormat="1" applyFont="1" applyBorder="1" applyAlignment="1">
      <alignment horizontal="center"/>
    </xf>
    <xf numFmtId="0" fontId="4" fillId="5" borderId="1" xfId="0" applyFont="1" applyFill="1" applyBorder="1"/>
    <xf numFmtId="166" fontId="8" fillId="0" borderId="1" xfId="3" applyNumberFormat="1" applyFont="1" applyBorder="1"/>
    <xf numFmtId="43" fontId="8" fillId="0" borderId="1" xfId="0" applyNumberFormat="1" applyFont="1" applyBorder="1" applyAlignment="1">
      <alignment horizontal="center"/>
    </xf>
    <xf numFmtId="0" fontId="4" fillId="6" borderId="1" xfId="0" applyFont="1" applyFill="1" applyBorder="1"/>
    <xf numFmtId="2" fontId="6" fillId="4" borderId="1" xfId="0" applyNumberFormat="1" applyFont="1" applyFill="1" applyBorder="1"/>
    <xf numFmtId="1" fontId="4" fillId="0" borderId="1" xfId="0" applyNumberFormat="1" applyFont="1" applyBorder="1"/>
    <xf numFmtId="0" fontId="7" fillId="0" borderId="1" xfId="3" applyNumberFormat="1" applyFont="1" applyBorder="1"/>
    <xf numFmtId="168" fontId="4" fillId="0" borderId="1" xfId="1" applyNumberFormat="1" applyFont="1" applyBorder="1"/>
    <xf numFmtId="2" fontId="4" fillId="4" borderId="1" xfId="0" applyNumberFormat="1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43" fontId="4" fillId="4" borderId="1" xfId="1" applyFont="1" applyFill="1" applyBorder="1" applyAlignment="1">
      <alignment horizontal="right"/>
    </xf>
    <xf numFmtId="166" fontId="8" fillId="0" borderId="1" xfId="3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69" fontId="4" fillId="0" borderId="1" xfId="0" applyNumberFormat="1" applyFont="1" applyBorder="1" applyAlignment="1">
      <alignment horizontal="left"/>
    </xf>
    <xf numFmtId="2" fontId="4" fillId="3" borderId="2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right"/>
    </xf>
    <xf numFmtId="2" fontId="4" fillId="7" borderId="1" xfId="0" applyNumberFormat="1" applyFont="1" applyFill="1" applyBorder="1"/>
    <xf numFmtId="0" fontId="6" fillId="0" borderId="1" xfId="0" applyFont="1" applyBorder="1"/>
    <xf numFmtId="14" fontId="6" fillId="0" borderId="1" xfId="0" applyNumberFormat="1" applyFont="1" applyBorder="1"/>
    <xf numFmtId="43" fontId="6" fillId="0" borderId="1" xfId="0" applyNumberFormat="1" applyFont="1" applyBorder="1"/>
    <xf numFmtId="170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9" fontId="4" fillId="0" borderId="1" xfId="0" applyNumberFormat="1" applyFont="1" applyBorder="1"/>
    <xf numFmtId="171" fontId="4" fillId="0" borderId="1" xfId="0" applyNumberFormat="1" applyFont="1" applyBorder="1"/>
    <xf numFmtId="43" fontId="4" fillId="0" borderId="1" xfId="0" applyNumberFormat="1" applyFont="1" applyBorder="1"/>
    <xf numFmtId="165" fontId="4" fillId="0" borderId="1" xfId="2" applyNumberFormat="1" applyFont="1" applyBorder="1"/>
    <xf numFmtId="172" fontId="4" fillId="0" borderId="1" xfId="2" applyNumberFormat="1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43" fontId="4" fillId="0" borderId="1" xfId="1" applyFont="1" applyFill="1" applyBorder="1"/>
    <xf numFmtId="166" fontId="7" fillId="0" borderId="1" xfId="3" applyNumberFormat="1" applyFont="1" applyFill="1" applyBorder="1"/>
    <xf numFmtId="43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4" fontId="4" fillId="0" borderId="3" xfId="0" applyNumberFormat="1" applyFont="1" applyBorder="1"/>
    <xf numFmtId="167" fontId="4" fillId="0" borderId="3" xfId="0" applyNumberFormat="1" applyFont="1" applyBorder="1"/>
    <xf numFmtId="43" fontId="4" fillId="0" borderId="3" xfId="1" applyFont="1" applyBorder="1"/>
    <xf numFmtId="165" fontId="4" fillId="0" borderId="3" xfId="0" applyNumberFormat="1" applyFont="1" applyBorder="1"/>
    <xf numFmtId="2" fontId="6" fillId="4" borderId="3" xfId="0" applyNumberFormat="1" applyFont="1" applyFill="1" applyBorder="1"/>
    <xf numFmtId="1" fontId="4" fillId="0" borderId="3" xfId="0" applyNumberFormat="1" applyFont="1" applyBorder="1"/>
    <xf numFmtId="166" fontId="7" fillId="0" borderId="3" xfId="3" applyNumberFormat="1" applyFont="1" applyBorder="1"/>
    <xf numFmtId="165" fontId="4" fillId="0" borderId="3" xfId="0" applyNumberFormat="1" applyFont="1" applyBorder="1" applyAlignment="1">
      <alignment horizontal="center"/>
    </xf>
    <xf numFmtId="43" fontId="4" fillId="0" borderId="3" xfId="0" applyNumberFormat="1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0" borderId="6" xfId="0" applyFont="1" applyBorder="1"/>
    <xf numFmtId="167" fontId="3" fillId="0" borderId="1" xfId="0" applyNumberFormat="1" applyFont="1" applyBorder="1"/>
    <xf numFmtId="43" fontId="3" fillId="0" borderId="1" xfId="1" applyFont="1" applyBorder="1"/>
    <xf numFmtId="165" fontId="3" fillId="0" borderId="1" xfId="0" applyNumberFormat="1" applyFont="1" applyBorder="1"/>
    <xf numFmtId="2" fontId="11" fillId="0" borderId="5" xfId="0" applyNumberFormat="1" applyFont="1" applyBorder="1"/>
    <xf numFmtId="166" fontId="4" fillId="0" borderId="1" xfId="3" applyNumberFormat="1" applyFont="1" applyBorder="1"/>
    <xf numFmtId="2" fontId="6" fillId="0" borderId="1" xfId="0" applyNumberFormat="1" applyFont="1" applyBorder="1"/>
    <xf numFmtId="172" fontId="4" fillId="0" borderId="1" xfId="2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5" borderId="2" xfId="0" applyFont="1" applyFill="1" applyBorder="1"/>
    <xf numFmtId="0" fontId="3" fillId="3" borderId="3" xfId="0" applyFont="1" applyFill="1" applyBorder="1"/>
    <xf numFmtId="0" fontId="3" fillId="3" borderId="1" xfId="0" applyFont="1" applyFill="1" applyBorder="1" applyAlignment="1">
      <alignment horizontal="left"/>
    </xf>
    <xf numFmtId="167" fontId="4" fillId="4" borderId="1" xfId="0" applyNumberFormat="1" applyFont="1" applyFill="1" applyBorder="1"/>
    <xf numFmtId="0" fontId="4" fillId="6" borderId="2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  <xf numFmtId="0" fontId="4" fillId="9" borderId="3" xfId="0" applyFont="1" applyFill="1" applyBorder="1" applyAlignment="1">
      <alignment horizontal="left"/>
    </xf>
    <xf numFmtId="0" fontId="4" fillId="9" borderId="4" xfId="0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17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72" fontId="3" fillId="0" borderId="1" xfId="2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73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73" fontId="3" fillId="0" borderId="1" xfId="0" applyNumberFormat="1" applyFont="1" applyBorder="1"/>
    <xf numFmtId="173" fontId="3" fillId="0" borderId="1" xfId="3" applyNumberFormat="1" applyFont="1" applyBorder="1" applyAlignment="1">
      <alignment horizontal="right"/>
    </xf>
    <xf numFmtId="9" fontId="3" fillId="0" borderId="1" xfId="3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166" fontId="3" fillId="0" borderId="1" xfId="3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43" fontId="4" fillId="4" borderId="1" xfId="1" applyFont="1" applyFill="1" applyBorder="1"/>
    <xf numFmtId="43" fontId="4" fillId="0" borderId="1" xfId="1" applyFont="1" applyFill="1" applyBorder="1" applyAlignment="1">
      <alignment horizontal="right"/>
    </xf>
    <xf numFmtId="165" fontId="4" fillId="0" borderId="2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der/Documents/4.%20Martin/Beleggen/1.%20Tabellen%20voor%20nieuwsbrief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Copper plays"/>
      <sheetName val="Metals all"/>
      <sheetName val="Highscore List"/>
      <sheetName val="6B "/>
      <sheetName val="Top 10x"/>
      <sheetName val="Optie cal"/>
      <sheetName val="Crescat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4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">
          <cell r="D3">
            <v>1.0670081092616304</v>
          </cell>
          <cell r="J3">
            <v>5.73</v>
          </cell>
          <cell r="M3">
            <v>1.36</v>
          </cell>
          <cell r="P3">
            <v>2.79</v>
          </cell>
          <cell r="S3">
            <v>1.44</v>
          </cell>
          <cell r="V3">
            <v>143.5</v>
          </cell>
          <cell r="Z3">
            <v>2948.5</v>
          </cell>
        </row>
        <row r="4">
          <cell r="D4">
            <v>1.4652014652014651</v>
          </cell>
          <cell r="M4">
            <v>9.5000000000000001E-2</v>
          </cell>
          <cell r="P4">
            <v>0.69</v>
          </cell>
          <cell r="S4">
            <v>0.32</v>
          </cell>
          <cell r="V4">
            <v>3.08</v>
          </cell>
          <cell r="Z4">
            <v>3.66</v>
          </cell>
        </row>
        <row r="5">
          <cell r="D5">
            <v>1.5936254980079683</v>
          </cell>
          <cell r="J5">
            <v>3.54</v>
          </cell>
          <cell r="M5">
            <v>0.27</v>
          </cell>
          <cell r="P5">
            <v>0.56499999999999995</v>
          </cell>
          <cell r="S5">
            <v>0.185</v>
          </cell>
          <cell r="V5">
            <v>0.14000000000000001</v>
          </cell>
          <cell r="Z5">
            <v>48.17</v>
          </cell>
        </row>
        <row r="6">
          <cell r="D6">
            <v>0.87642418930762489</v>
          </cell>
          <cell r="M6">
            <v>0.26</v>
          </cell>
          <cell r="P6">
            <v>1.2</v>
          </cell>
          <cell r="S6">
            <v>325</v>
          </cell>
          <cell r="V6">
            <v>3.7</v>
          </cell>
          <cell r="Z6">
            <v>21.42</v>
          </cell>
        </row>
        <row r="7">
          <cell r="G7">
            <v>15.79</v>
          </cell>
          <cell r="M7">
            <v>0.65</v>
          </cell>
          <cell r="P7">
            <v>0.30499999999999999</v>
          </cell>
          <cell r="S7">
            <v>0.52890000000000004</v>
          </cell>
          <cell r="V7">
            <v>0.93520000000000003</v>
          </cell>
          <cell r="Z7">
            <v>2.76</v>
          </cell>
        </row>
        <row r="8">
          <cell r="G8">
            <v>64.67</v>
          </cell>
          <cell r="J8">
            <v>0.34</v>
          </cell>
          <cell r="M8">
            <v>0.26500000000000001</v>
          </cell>
          <cell r="P8">
            <v>0.1875</v>
          </cell>
          <cell r="S8">
            <v>22.68</v>
          </cell>
          <cell r="V8">
            <v>11.13</v>
          </cell>
          <cell r="Z8">
            <v>0.4</v>
          </cell>
        </row>
        <row r="9">
          <cell r="G9">
            <v>57.6</v>
          </cell>
          <cell r="J9">
            <v>2.12</v>
          </cell>
          <cell r="M9">
            <v>0.18</v>
          </cell>
          <cell r="P9">
            <v>0.66759999999999997</v>
          </cell>
          <cell r="S9">
            <v>0.2</v>
          </cell>
          <cell r="V9">
            <v>3.29</v>
          </cell>
          <cell r="Z9">
            <v>0.57999999999999996</v>
          </cell>
        </row>
        <row r="10">
          <cell r="G10">
            <v>20.76</v>
          </cell>
          <cell r="J10">
            <v>5.18</v>
          </cell>
          <cell r="M10">
            <v>0.315</v>
          </cell>
          <cell r="P10">
            <v>0.155</v>
          </cell>
          <cell r="V10">
            <v>0.23</v>
          </cell>
          <cell r="Z10">
            <v>4.87</v>
          </cell>
        </row>
        <row r="11">
          <cell r="G11">
            <v>13.62</v>
          </cell>
          <cell r="M11">
            <v>2.5000000000000001E-2</v>
          </cell>
          <cell r="P11">
            <v>0.39500000000000002</v>
          </cell>
          <cell r="V11">
            <v>0.62</v>
          </cell>
          <cell r="Z11">
            <v>4.4000000000000004</v>
          </cell>
        </row>
        <row r="12">
          <cell r="C12">
            <v>155</v>
          </cell>
          <cell r="G12">
            <v>33.590000000000003</v>
          </cell>
          <cell r="J12">
            <v>1.3</v>
          </cell>
          <cell r="M12">
            <v>0.35</v>
          </cell>
          <cell r="P12">
            <v>5.41</v>
          </cell>
          <cell r="V12">
            <v>2.58</v>
          </cell>
          <cell r="Z12">
            <v>0.17730000000000001</v>
          </cell>
        </row>
        <row r="13">
          <cell r="G13">
            <v>27.03</v>
          </cell>
          <cell r="J13">
            <v>8.2899999999999991</v>
          </cell>
          <cell r="M13">
            <v>0.1</v>
          </cell>
          <cell r="P13">
            <v>2.89</v>
          </cell>
          <cell r="V13">
            <v>0.125</v>
          </cell>
        </row>
        <row r="14">
          <cell r="G14">
            <v>14.31</v>
          </cell>
          <cell r="J14">
            <v>7.32</v>
          </cell>
          <cell r="M14">
            <v>0.32</v>
          </cell>
          <cell r="V14">
            <v>1.355</v>
          </cell>
        </row>
        <row r="15">
          <cell r="G15">
            <v>9.99</v>
          </cell>
          <cell r="M15">
            <v>0.81</v>
          </cell>
          <cell r="V15">
            <v>0.06</v>
          </cell>
        </row>
        <row r="16">
          <cell r="J16">
            <v>1.38</v>
          </cell>
          <cell r="M16">
            <v>0.19539999999999999</v>
          </cell>
          <cell r="V16">
            <v>2.19</v>
          </cell>
        </row>
        <row r="17">
          <cell r="M17">
            <v>0.66</v>
          </cell>
          <cell r="V17">
            <v>2.75</v>
          </cell>
        </row>
        <row r="18">
          <cell r="M18">
            <v>0.11</v>
          </cell>
          <cell r="V18">
            <v>1.03</v>
          </cell>
        </row>
        <row r="19">
          <cell r="M19">
            <v>1.03</v>
          </cell>
          <cell r="V19">
            <v>2.0699999999999998</v>
          </cell>
        </row>
        <row r="20">
          <cell r="M20">
            <v>0.05</v>
          </cell>
          <cell r="V20">
            <v>4.8</v>
          </cell>
        </row>
        <row r="21">
          <cell r="M21">
            <v>0.54</v>
          </cell>
          <cell r="V21">
            <v>0.19500000000000001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5.7369999999999992</v>
          </cell>
        </row>
        <row r="8">
          <cell r="P8">
            <v>1.17</v>
          </cell>
        </row>
        <row r="9">
          <cell r="P9">
            <v>1.1400000000000001</v>
          </cell>
        </row>
        <row r="10">
          <cell r="P10">
            <v>8.06</v>
          </cell>
        </row>
        <row r="12">
          <cell r="P12">
            <v>0.24</v>
          </cell>
        </row>
        <row r="13">
          <cell r="P13">
            <v>1.7149999999999999</v>
          </cell>
        </row>
        <row r="14">
          <cell r="P14">
            <v>0.122</v>
          </cell>
        </row>
        <row r="15">
          <cell r="P15">
            <v>8.2000000000000003E-2</v>
          </cell>
        </row>
        <row r="16">
          <cell r="P16">
            <v>0.75</v>
          </cell>
        </row>
        <row r="17">
          <cell r="P17">
            <v>8</v>
          </cell>
        </row>
        <row r="19">
          <cell r="P19">
            <v>0.78999999999999981</v>
          </cell>
        </row>
        <row r="20">
          <cell r="P20">
            <v>2.25</v>
          </cell>
        </row>
        <row r="21">
          <cell r="P21">
            <v>0.98</v>
          </cell>
        </row>
        <row r="22">
          <cell r="P22">
            <v>1.05</v>
          </cell>
        </row>
        <row r="23">
          <cell r="P23">
            <v>0.92500000000000004</v>
          </cell>
        </row>
        <row r="24">
          <cell r="P24">
            <v>5.2649999999999997</v>
          </cell>
        </row>
        <row r="25">
          <cell r="P25">
            <v>4.915</v>
          </cell>
        </row>
        <row r="26">
          <cell r="P26">
            <v>2.4900000000000002</v>
          </cell>
        </row>
        <row r="27">
          <cell r="P27">
            <v>3</v>
          </cell>
        </row>
        <row r="28">
          <cell r="P28">
            <v>1.4E-2</v>
          </cell>
        </row>
        <row r="29">
          <cell r="P29">
            <v>0</v>
          </cell>
        </row>
        <row r="45">
          <cell r="P45">
            <v>0.04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F26B-0171-E24A-A280-DAE08DA571D8}">
  <dimension ref="A1:P180"/>
  <sheetViews>
    <sheetView tabSelected="1" workbookViewId="0">
      <selection activeCell="R9" sqref="R9"/>
    </sheetView>
  </sheetViews>
  <sheetFormatPr baseColWidth="10" defaultRowHeight="16" x14ac:dyDescent="0.2"/>
  <cols>
    <col min="1" max="1" width="25.33203125" bestFit="1" customWidth="1"/>
    <col min="2" max="2" width="5" bestFit="1" customWidth="1"/>
    <col min="3" max="3" width="6.83203125" bestFit="1" customWidth="1"/>
    <col min="4" max="4" width="4.5" bestFit="1" customWidth="1"/>
    <col min="5" max="5" width="6.6640625" bestFit="1" customWidth="1"/>
    <col min="6" max="6" width="6.1640625" bestFit="1" customWidth="1"/>
    <col min="7" max="7" width="6.6640625" bestFit="1" customWidth="1"/>
    <col min="8" max="9" width="6.1640625" bestFit="1" customWidth="1"/>
    <col min="10" max="10" width="7" bestFit="1" customWidth="1"/>
    <col min="11" max="11" width="5.6640625" customWidth="1"/>
    <col min="12" max="12" width="6.33203125" bestFit="1" customWidth="1"/>
    <col min="13" max="13" width="9.6640625" bestFit="1" customWidth="1"/>
    <col min="14" max="14" width="4.1640625" bestFit="1" customWidth="1"/>
    <col min="15" max="15" width="7" customWidth="1"/>
    <col min="16" max="16" width="6.1640625" bestFit="1" customWidth="1"/>
  </cols>
  <sheetData>
    <row r="1" spans="1:16" x14ac:dyDescent="0.2">
      <c r="A1" s="1">
        <f ca="1">TODAY()</f>
        <v>45004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2" t="s">
        <v>0</v>
      </c>
      <c r="B2" s="3"/>
      <c r="C2" s="3"/>
      <c r="D2" s="3"/>
      <c r="E2" s="3"/>
      <c r="F2" s="4"/>
      <c r="G2" s="5"/>
      <c r="H2" s="6"/>
      <c r="I2" s="6"/>
      <c r="J2" s="6"/>
      <c r="K2" s="7"/>
      <c r="L2" s="8" t="s">
        <v>1</v>
      </c>
      <c r="M2" s="9">
        <f>SUM(K4:K26)</f>
        <v>16266.806319999998</v>
      </c>
      <c r="N2" s="10"/>
      <c r="O2" s="11"/>
      <c r="P2" s="12">
        <f>M2/P165</f>
        <v>0.29936387979490292</v>
      </c>
    </row>
    <row r="3" spans="1:16" x14ac:dyDescent="0.2">
      <c r="A3" s="13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3" t="s">
        <v>7</v>
      </c>
      <c r="G3" s="13" t="s">
        <v>8</v>
      </c>
      <c r="H3" s="16" t="s">
        <v>9</v>
      </c>
      <c r="I3" s="13" t="s">
        <v>10</v>
      </c>
      <c r="J3" s="15" t="s">
        <v>11</v>
      </c>
      <c r="K3" s="13" t="s">
        <v>12</v>
      </c>
      <c r="L3" s="13" t="s">
        <v>13</v>
      </c>
      <c r="M3" s="17" t="s">
        <v>14</v>
      </c>
      <c r="N3" s="18" t="s">
        <v>15</v>
      </c>
      <c r="O3" s="19" t="s">
        <v>16</v>
      </c>
      <c r="P3" s="17" t="s">
        <v>17</v>
      </c>
    </row>
    <row r="4" spans="1:16" x14ac:dyDescent="0.2">
      <c r="A4" s="20" t="s">
        <v>18</v>
      </c>
      <c r="B4" s="20" t="s">
        <v>19</v>
      </c>
      <c r="C4" s="21">
        <v>44193</v>
      </c>
      <c r="D4" s="20">
        <v>100</v>
      </c>
      <c r="E4" s="22">
        <v>1.1766000000000001</v>
      </c>
      <c r="F4" s="23">
        <v>6.32</v>
      </c>
      <c r="G4" s="24">
        <f t="shared" ref="G4:G26" si="0">(F4*D4)/E4</f>
        <v>537.14091449940497</v>
      </c>
      <c r="H4" s="25">
        <v>5.73</v>
      </c>
      <c r="I4" s="26">
        <f>[1]Dividend!P15</f>
        <v>8.2000000000000003E-2</v>
      </c>
      <c r="J4" s="22">
        <f>C159</f>
        <v>1.0670081092616304</v>
      </c>
      <c r="K4" s="24">
        <f t="shared" ref="K4:K26" si="1">((H4+I4)/J4)*D4</f>
        <v>544.70064000000002</v>
      </c>
      <c r="L4" s="27">
        <f t="shared" ref="L4:L26" si="2">(K4-G4)/G4</f>
        <v>1.4074007949367306E-2</v>
      </c>
      <c r="M4" s="28">
        <f t="shared" ref="M4:M26" si="3">K4-G4</f>
        <v>7.5597255005950501</v>
      </c>
      <c r="N4" s="29">
        <v>8.91</v>
      </c>
      <c r="O4" s="30">
        <f>(N4+I4)*0.75</f>
        <v>6.7440000000000007</v>
      </c>
      <c r="P4" s="31">
        <f t="shared" ref="P4:P26" si="4">O4-F4</f>
        <v>0.42400000000000038</v>
      </c>
    </row>
    <row r="5" spans="1:16" x14ac:dyDescent="0.2">
      <c r="A5" s="32" t="s">
        <v>20</v>
      </c>
      <c r="B5" s="20" t="s">
        <v>19</v>
      </c>
      <c r="C5" s="21">
        <v>44683</v>
      </c>
      <c r="D5" s="20">
        <v>100</v>
      </c>
      <c r="E5" s="22">
        <v>1.0499000000000001</v>
      </c>
      <c r="F5" s="23">
        <v>6.8250000000000002</v>
      </c>
      <c r="G5" s="24">
        <f t="shared" si="0"/>
        <v>650.0619106581579</v>
      </c>
      <c r="H5" s="25">
        <f>'[1]auto data'!J3</f>
        <v>5.73</v>
      </c>
      <c r="I5" s="26">
        <f>[1]Dividend!P15-0.032</f>
        <v>0.05</v>
      </c>
      <c r="J5" s="22">
        <f>C159</f>
        <v>1.0670081092616304</v>
      </c>
      <c r="K5" s="24">
        <f t="shared" si="1"/>
        <v>541.70159999999998</v>
      </c>
      <c r="L5" s="33">
        <f>(K5-G5)/G5</f>
        <v>-0.16669229327472526</v>
      </c>
      <c r="M5" s="28">
        <f>K5-G5</f>
        <v>-108.36031065815791</v>
      </c>
      <c r="N5" s="29">
        <v>6.83</v>
      </c>
      <c r="O5" s="30">
        <f>(N5+I5)*0.75</f>
        <v>5.16</v>
      </c>
      <c r="P5" s="34">
        <f>O5-F5</f>
        <v>-1.665</v>
      </c>
    </row>
    <row r="6" spans="1:16" x14ac:dyDescent="0.2">
      <c r="A6" s="32" t="s">
        <v>21</v>
      </c>
      <c r="B6" s="20" t="s">
        <v>19</v>
      </c>
      <c r="C6" s="21">
        <v>44690</v>
      </c>
      <c r="D6" s="20">
        <v>100</v>
      </c>
      <c r="E6" s="22">
        <v>1.0529999999999999</v>
      </c>
      <c r="F6" s="23">
        <v>6.48</v>
      </c>
      <c r="G6" s="24">
        <f t="shared" si="0"/>
        <v>615.38461538461547</v>
      </c>
      <c r="H6" s="25">
        <f>'[1]auto data'!J3</f>
        <v>5.73</v>
      </c>
      <c r="I6" s="26">
        <f>I5</f>
        <v>0.05</v>
      </c>
      <c r="J6" s="22">
        <f>C159</f>
        <v>1.0670081092616304</v>
      </c>
      <c r="K6" s="24">
        <f t="shared" si="1"/>
        <v>541.70159999999998</v>
      </c>
      <c r="L6" s="33">
        <f>(K6-G6)/G6</f>
        <v>-0.11973490000000014</v>
      </c>
      <c r="M6" s="28">
        <f>K6-G6</f>
        <v>-73.683015384615487</v>
      </c>
      <c r="N6" s="29">
        <v>6.48</v>
      </c>
      <c r="O6" s="30">
        <f>(N6+I6)*0.75</f>
        <v>4.8975</v>
      </c>
      <c r="P6" s="34">
        <f>O6-F6</f>
        <v>-1.5825000000000005</v>
      </c>
    </row>
    <row r="7" spans="1:16" x14ac:dyDescent="0.2">
      <c r="A7" s="32" t="s">
        <v>22</v>
      </c>
      <c r="B7" s="20" t="s">
        <v>19</v>
      </c>
      <c r="C7" s="21">
        <v>44979</v>
      </c>
      <c r="D7" s="20">
        <v>100</v>
      </c>
      <c r="E7" s="22">
        <v>1.0625</v>
      </c>
      <c r="F7" s="23">
        <v>4.8499999999999996</v>
      </c>
      <c r="G7" s="24">
        <f t="shared" si="0"/>
        <v>456.47058823529409</v>
      </c>
      <c r="H7" s="25">
        <f>'[1]auto data'!J3</f>
        <v>5.73</v>
      </c>
      <c r="I7" s="26">
        <v>0</v>
      </c>
      <c r="J7" s="22">
        <f>C159</f>
        <v>1.0670081092616304</v>
      </c>
      <c r="K7" s="24">
        <f t="shared" si="1"/>
        <v>537.01560000000006</v>
      </c>
      <c r="L7" s="27">
        <f>(K7-G7)/G7</f>
        <v>0.17645170103092805</v>
      </c>
      <c r="M7" s="28">
        <f>K7-G7</f>
        <v>80.545011764705976</v>
      </c>
      <c r="N7" s="29">
        <v>4.8499999999999996</v>
      </c>
      <c r="O7" s="30">
        <f>(N7+I7)*0.75</f>
        <v>3.6374999999999997</v>
      </c>
      <c r="P7" s="34">
        <f>O7-F7</f>
        <v>-1.2124999999999999</v>
      </c>
    </row>
    <row r="8" spans="1:16" x14ac:dyDescent="0.2">
      <c r="A8" s="35" t="s">
        <v>23</v>
      </c>
      <c r="B8" s="20" t="s">
        <v>24</v>
      </c>
      <c r="C8" s="21">
        <v>44195</v>
      </c>
      <c r="D8" s="20">
        <v>45</v>
      </c>
      <c r="E8" s="22">
        <v>1.1637</v>
      </c>
      <c r="F8" s="23">
        <v>37.909999999999997</v>
      </c>
      <c r="G8" s="24">
        <f t="shared" si="0"/>
        <v>1465.9706109822118</v>
      </c>
      <c r="H8" s="25">
        <v>45.3</v>
      </c>
      <c r="I8" s="26">
        <f>[1]Dividend!P8</f>
        <v>1.17</v>
      </c>
      <c r="J8" s="22">
        <f>C159</f>
        <v>1.0670081092616304</v>
      </c>
      <c r="K8" s="24">
        <f t="shared" si="1"/>
        <v>1959.8257800000001</v>
      </c>
      <c r="L8" s="27">
        <f t="shared" si="2"/>
        <v>0.33687931075705635</v>
      </c>
      <c r="M8" s="28">
        <f t="shared" si="3"/>
        <v>493.85516901778828</v>
      </c>
      <c r="N8" s="29">
        <v>51.29</v>
      </c>
      <c r="O8" s="30">
        <f>(N8+I8)*0.75</f>
        <v>39.344999999999999</v>
      </c>
      <c r="P8" s="31">
        <f t="shared" si="4"/>
        <v>1.4350000000000023</v>
      </c>
    </row>
    <row r="9" spans="1:16" x14ac:dyDescent="0.2">
      <c r="A9" s="20" t="s">
        <v>25</v>
      </c>
      <c r="B9" s="20" t="s">
        <v>26</v>
      </c>
      <c r="C9" s="21">
        <v>44210</v>
      </c>
      <c r="D9" s="20">
        <v>200</v>
      </c>
      <c r="E9" s="22">
        <v>1.56</v>
      </c>
      <c r="F9" s="23">
        <v>2.52</v>
      </c>
      <c r="G9" s="24">
        <f t="shared" si="0"/>
        <v>323.07692307692304</v>
      </c>
      <c r="H9" s="25">
        <f>'[1]auto data'!J5</f>
        <v>3.54</v>
      </c>
      <c r="I9" s="26">
        <f>[1]Dividend!P28</f>
        <v>1.4E-2</v>
      </c>
      <c r="J9" s="22">
        <f>C160</f>
        <v>1.4652014652014651</v>
      </c>
      <c r="K9" s="24">
        <f t="shared" si="1"/>
        <v>485.12099999999998</v>
      </c>
      <c r="L9" s="27">
        <f t="shared" si="2"/>
        <v>0.50156500000000015</v>
      </c>
      <c r="M9" s="28">
        <f t="shared" si="3"/>
        <v>162.04407692307694</v>
      </c>
      <c r="N9" s="29">
        <v>3.82</v>
      </c>
      <c r="O9" s="30">
        <f>(N9+I9)*0.66</f>
        <v>2.53044</v>
      </c>
      <c r="P9" s="31">
        <f t="shared" si="4"/>
        <v>1.0440000000000005E-2</v>
      </c>
    </row>
    <row r="10" spans="1:16" x14ac:dyDescent="0.2">
      <c r="A10" s="20" t="s">
        <v>27</v>
      </c>
      <c r="B10" s="20" t="s">
        <v>28</v>
      </c>
      <c r="C10" s="21">
        <v>44211</v>
      </c>
      <c r="D10" s="20">
        <v>100</v>
      </c>
      <c r="E10" s="22">
        <v>1.1109</v>
      </c>
      <c r="F10" s="23">
        <v>6.82</v>
      </c>
      <c r="G10" s="24">
        <f t="shared" si="0"/>
        <v>613.91664416239087</v>
      </c>
      <c r="H10" s="25">
        <v>6.53</v>
      </c>
      <c r="I10" s="26">
        <v>0</v>
      </c>
      <c r="J10" s="22">
        <f>C159</f>
        <v>1.0670081092616304</v>
      </c>
      <c r="K10" s="24">
        <f t="shared" si="1"/>
        <v>611.99160000000006</v>
      </c>
      <c r="L10" s="33">
        <f t="shared" si="2"/>
        <v>-3.1356767741934671E-3</v>
      </c>
      <c r="M10" s="28">
        <f t="shared" si="3"/>
        <v>-1.9250441623908046</v>
      </c>
      <c r="N10" s="29">
        <v>10.15</v>
      </c>
      <c r="O10" s="30">
        <f>(N10+I10)*0.66</f>
        <v>6.6990000000000007</v>
      </c>
      <c r="P10" s="34">
        <f t="shared" si="4"/>
        <v>-0.12099999999999955</v>
      </c>
    </row>
    <row r="11" spans="1:16" x14ac:dyDescent="0.2">
      <c r="A11" s="20" t="s">
        <v>29</v>
      </c>
      <c r="B11" s="20" t="s">
        <v>30</v>
      </c>
      <c r="C11" s="21">
        <v>44250</v>
      </c>
      <c r="D11" s="20">
        <v>200</v>
      </c>
      <c r="E11" s="22">
        <v>1.1871</v>
      </c>
      <c r="F11" s="23">
        <v>8.9</v>
      </c>
      <c r="G11" s="24">
        <f t="shared" si="0"/>
        <v>1499.4524471400891</v>
      </c>
      <c r="H11" s="25">
        <v>7.72</v>
      </c>
      <c r="I11" s="26">
        <v>0</v>
      </c>
      <c r="J11" s="22">
        <f>C159</f>
        <v>1.0670081092616304</v>
      </c>
      <c r="K11" s="24">
        <f t="shared" si="1"/>
        <v>1447.0368000000001</v>
      </c>
      <c r="L11" s="33">
        <f t="shared" si="2"/>
        <v>-3.4956525123595344E-2</v>
      </c>
      <c r="M11" s="28">
        <f t="shared" si="3"/>
        <v>-52.41564714008905</v>
      </c>
      <c r="N11" s="29">
        <v>10.07</v>
      </c>
      <c r="O11" s="30">
        <f>(N11+I11)*0.75</f>
        <v>7.5525000000000002</v>
      </c>
      <c r="P11" s="34">
        <f t="shared" si="4"/>
        <v>-1.3475000000000001</v>
      </c>
    </row>
    <row r="12" spans="1:16" x14ac:dyDescent="0.2">
      <c r="A12" s="20" t="s">
        <v>31</v>
      </c>
      <c r="B12" s="20" t="s">
        <v>32</v>
      </c>
      <c r="C12" s="21">
        <v>44295</v>
      </c>
      <c r="D12" s="20">
        <v>200</v>
      </c>
      <c r="E12" s="22">
        <v>1.1847000000000001</v>
      </c>
      <c r="F12" s="23">
        <v>18.54</v>
      </c>
      <c r="G12" s="24">
        <f t="shared" si="0"/>
        <v>3129.9063053937703</v>
      </c>
      <c r="H12" s="25">
        <v>11.52</v>
      </c>
      <c r="I12" s="26">
        <v>0</v>
      </c>
      <c r="J12" s="22">
        <f>C159</f>
        <v>1.0670081092616304</v>
      </c>
      <c r="K12" s="24">
        <f t="shared" si="1"/>
        <v>2159.3087999999998</v>
      </c>
      <c r="L12" s="33">
        <f t="shared" si="2"/>
        <v>-0.31010433242718444</v>
      </c>
      <c r="M12" s="28">
        <f t="shared" si="3"/>
        <v>-970.59750539377046</v>
      </c>
      <c r="N12" s="29">
        <v>20.2</v>
      </c>
      <c r="O12" s="30">
        <f>(N12+I12)*0.75</f>
        <v>15.149999999999999</v>
      </c>
      <c r="P12" s="34">
        <f t="shared" si="4"/>
        <v>-3.3900000000000006</v>
      </c>
    </row>
    <row r="13" spans="1:16" x14ac:dyDescent="0.2">
      <c r="A13" s="20" t="s">
        <v>33</v>
      </c>
      <c r="B13" s="20" t="s">
        <v>34</v>
      </c>
      <c r="C13" s="21">
        <v>44313</v>
      </c>
      <c r="D13" s="20">
        <v>3000</v>
      </c>
      <c r="E13" s="22">
        <v>1.4043000000000001</v>
      </c>
      <c r="F13" s="23">
        <v>0.25169999999999998</v>
      </c>
      <c r="G13" s="24">
        <f t="shared" si="0"/>
        <v>537.70561845759448</v>
      </c>
      <c r="H13" s="25">
        <f>'[1]auto data'!J8</f>
        <v>0.34</v>
      </c>
      <c r="I13" s="26">
        <v>0</v>
      </c>
      <c r="J13" s="22">
        <f>C160</f>
        <v>1.4652014652014651</v>
      </c>
      <c r="K13" s="24">
        <f t="shared" si="1"/>
        <v>696.15000000000009</v>
      </c>
      <c r="L13" s="27">
        <f t="shared" si="2"/>
        <v>0.29466752085816478</v>
      </c>
      <c r="M13" s="28">
        <f t="shared" si="3"/>
        <v>158.44438154240561</v>
      </c>
      <c r="N13" s="29">
        <v>0.44</v>
      </c>
      <c r="O13" s="30">
        <f>(N13+I13)*0.5</f>
        <v>0.22</v>
      </c>
      <c r="P13" s="34">
        <f t="shared" si="4"/>
        <v>-3.1699999999999978E-2</v>
      </c>
    </row>
    <row r="14" spans="1:16" x14ac:dyDescent="0.2">
      <c r="A14" s="20" t="s">
        <v>35</v>
      </c>
      <c r="B14" s="20" t="s">
        <v>36</v>
      </c>
      <c r="C14" s="21">
        <v>44341</v>
      </c>
      <c r="D14" s="20">
        <v>300</v>
      </c>
      <c r="E14" s="22">
        <v>1.1656</v>
      </c>
      <c r="F14" s="23">
        <v>4.16</v>
      </c>
      <c r="G14" s="24">
        <f t="shared" si="0"/>
        <v>1070.6932052161976</v>
      </c>
      <c r="H14" s="25">
        <v>2.12</v>
      </c>
      <c r="I14" s="26">
        <f>[1]Dividend!P45</f>
        <v>0.04</v>
      </c>
      <c r="J14" s="22">
        <f>C159</f>
        <v>1.0670081092616304</v>
      </c>
      <c r="K14" s="24">
        <f>((H14+I14)/J14)*D14+349</f>
        <v>956.30560000000014</v>
      </c>
      <c r="L14" s="33">
        <f t="shared" si="2"/>
        <v>-0.10683509025641008</v>
      </c>
      <c r="M14" s="28">
        <f t="shared" si="3"/>
        <v>-114.38760521619747</v>
      </c>
      <c r="N14" s="29">
        <v>5.0999999999999996</v>
      </c>
      <c r="O14" s="30">
        <f t="shared" ref="O14:O23" si="5">(N14+I14)*0.66</f>
        <v>3.3923999999999999</v>
      </c>
      <c r="P14" s="34">
        <f t="shared" si="4"/>
        <v>-0.76760000000000028</v>
      </c>
    </row>
    <row r="15" spans="1:16" x14ac:dyDescent="0.2">
      <c r="A15" s="32" t="s">
        <v>37</v>
      </c>
      <c r="B15" s="20" t="s">
        <v>36</v>
      </c>
      <c r="C15" s="21">
        <v>44840</v>
      </c>
      <c r="D15" s="20">
        <v>100</v>
      </c>
      <c r="E15" s="22">
        <v>0.98080000000000001</v>
      </c>
      <c r="F15" s="23">
        <v>2.4</v>
      </c>
      <c r="G15" s="24">
        <f t="shared" si="0"/>
        <v>244.69820554649266</v>
      </c>
      <c r="H15" s="25">
        <f>'[1]auto data'!J9</f>
        <v>2.12</v>
      </c>
      <c r="I15" s="26">
        <v>0</v>
      </c>
      <c r="J15" s="22">
        <f>C159</f>
        <v>1.0670081092616304</v>
      </c>
      <c r="K15" s="24">
        <f>((H15+I15)/J15)*D15</f>
        <v>198.68640000000002</v>
      </c>
      <c r="L15" s="33">
        <f>(K15-G15)/G15</f>
        <v>-0.18803491199999992</v>
      </c>
      <c r="M15" s="28">
        <f>K15-G15</f>
        <v>-46.011805546492639</v>
      </c>
      <c r="N15" s="29">
        <v>2.4300000000000002</v>
      </c>
      <c r="O15" s="30">
        <f>(N15+I15)*0.66</f>
        <v>1.6038000000000001</v>
      </c>
      <c r="P15" s="34">
        <f>O15-F15</f>
        <v>-0.7961999999999998</v>
      </c>
    </row>
    <row r="16" spans="1:16" x14ac:dyDescent="0.2">
      <c r="A16" s="35" t="s">
        <v>38</v>
      </c>
      <c r="B16" s="20" t="s">
        <v>39</v>
      </c>
      <c r="C16" s="21">
        <v>44368</v>
      </c>
      <c r="D16" s="20">
        <v>300</v>
      </c>
      <c r="E16" s="22">
        <v>1.1375</v>
      </c>
      <c r="F16" s="23">
        <v>7.49</v>
      </c>
      <c r="G16" s="24">
        <f t="shared" si="0"/>
        <v>1975.3846153846155</v>
      </c>
      <c r="H16" s="25">
        <v>5.18</v>
      </c>
      <c r="I16" s="26">
        <v>0</v>
      </c>
      <c r="J16" s="22">
        <f>C159</f>
        <v>1.0670081092616304</v>
      </c>
      <c r="K16" s="24">
        <f t="shared" si="1"/>
        <v>1456.4087999999999</v>
      </c>
      <c r="L16" s="33">
        <f t="shared" si="2"/>
        <v>-0.26272140186915893</v>
      </c>
      <c r="M16" s="28">
        <f t="shared" si="3"/>
        <v>-518.97581538461554</v>
      </c>
      <c r="N16" s="29">
        <v>7.49</v>
      </c>
      <c r="O16" s="30">
        <f t="shared" si="5"/>
        <v>4.9434000000000005</v>
      </c>
      <c r="P16" s="34">
        <f t="shared" si="4"/>
        <v>-2.5465999999999998</v>
      </c>
    </row>
    <row r="17" spans="1:16" x14ac:dyDescent="0.2">
      <c r="A17" s="32" t="s">
        <v>40</v>
      </c>
      <c r="B17" s="20" t="s">
        <v>39</v>
      </c>
      <c r="C17" s="21">
        <v>44726</v>
      </c>
      <c r="D17" s="20">
        <v>100</v>
      </c>
      <c r="E17" s="22">
        <v>1.0409999999999999</v>
      </c>
      <c r="F17" s="23">
        <v>5.15</v>
      </c>
      <c r="G17" s="24">
        <f t="shared" si="0"/>
        <v>494.71661863592703</v>
      </c>
      <c r="H17" s="25">
        <f>'[1]auto data'!J10</f>
        <v>5.18</v>
      </c>
      <c r="I17" s="26">
        <v>0</v>
      </c>
      <c r="J17" s="22">
        <f>C159</f>
        <v>1.0670081092616304</v>
      </c>
      <c r="K17" s="24">
        <f>((H17+I17)/J17)*D17</f>
        <v>485.46959999999996</v>
      </c>
      <c r="L17" s="33">
        <f>(K17-G17)/G17</f>
        <v>-1.8691546407767157E-2</v>
      </c>
      <c r="M17" s="28">
        <f>K17-G17</f>
        <v>-9.247018635927077</v>
      </c>
      <c r="N17" s="29">
        <v>5.16</v>
      </c>
      <c r="O17" s="30">
        <f>(N17+I17)*0.66</f>
        <v>3.4056000000000002</v>
      </c>
      <c r="P17" s="34">
        <f>O17-F17</f>
        <v>-1.7444000000000002</v>
      </c>
    </row>
    <row r="18" spans="1:16" x14ac:dyDescent="0.2">
      <c r="A18" s="20" t="s">
        <v>41</v>
      </c>
      <c r="B18" s="20" t="s">
        <v>42</v>
      </c>
      <c r="C18" s="21">
        <v>44388</v>
      </c>
      <c r="D18" s="20">
        <v>100</v>
      </c>
      <c r="E18" s="22">
        <v>1.18</v>
      </c>
      <c r="F18" s="23">
        <v>5.29</v>
      </c>
      <c r="G18" s="24">
        <f t="shared" si="0"/>
        <v>448.30508474576271</v>
      </c>
      <c r="H18" s="25">
        <v>3.41</v>
      </c>
      <c r="I18" s="26">
        <v>0</v>
      </c>
      <c r="J18" s="22">
        <f>C159</f>
        <v>1.0670081092616304</v>
      </c>
      <c r="K18" s="24">
        <f t="shared" si="1"/>
        <v>319.58520000000004</v>
      </c>
      <c r="L18" s="33">
        <f t="shared" si="2"/>
        <v>-0.28712564083175796</v>
      </c>
      <c r="M18" s="28">
        <f t="shared" si="3"/>
        <v>-128.71988474576267</v>
      </c>
      <c r="N18" s="29">
        <v>5.58</v>
      </c>
      <c r="O18" s="30">
        <f t="shared" si="5"/>
        <v>3.6828000000000003</v>
      </c>
      <c r="P18" s="34">
        <f t="shared" si="4"/>
        <v>-1.6071999999999997</v>
      </c>
    </row>
    <row r="19" spans="1:16" x14ac:dyDescent="0.2">
      <c r="A19" s="20" t="s">
        <v>43</v>
      </c>
      <c r="B19" s="20" t="s">
        <v>44</v>
      </c>
      <c r="C19" s="21">
        <v>44433</v>
      </c>
      <c r="D19" s="20">
        <v>300</v>
      </c>
      <c r="E19" s="22">
        <v>1.4830000000000001</v>
      </c>
      <c r="F19" s="23">
        <v>1.27</v>
      </c>
      <c r="G19" s="24">
        <f t="shared" si="0"/>
        <v>256.91166554281858</v>
      </c>
      <c r="H19" s="36">
        <f>'[1]auto data'!J12</f>
        <v>1.3</v>
      </c>
      <c r="I19" s="26">
        <f>[1]Dividend!P14</f>
        <v>0.122</v>
      </c>
      <c r="J19" s="22">
        <f>C160</f>
        <v>1.4652014652014651</v>
      </c>
      <c r="K19" s="24">
        <f t="shared" si="1"/>
        <v>291.15450000000004</v>
      </c>
      <c r="L19" s="27">
        <f t="shared" si="2"/>
        <v>0.13328641338582706</v>
      </c>
      <c r="M19" s="28">
        <f t="shared" si="3"/>
        <v>34.242834457181459</v>
      </c>
      <c r="N19" s="29">
        <v>1.5</v>
      </c>
      <c r="O19" s="30">
        <f t="shared" si="5"/>
        <v>1.0705199999999999</v>
      </c>
      <c r="P19" s="34">
        <f t="shared" si="4"/>
        <v>-0.1994800000000001</v>
      </c>
    </row>
    <row r="20" spans="1:16" x14ac:dyDescent="0.2">
      <c r="A20" s="20" t="s">
        <v>45</v>
      </c>
      <c r="B20" s="20" t="s">
        <v>46</v>
      </c>
      <c r="C20" s="21">
        <v>44517</v>
      </c>
      <c r="D20" s="20">
        <v>40</v>
      </c>
      <c r="E20" s="22">
        <v>1.1301000000000001</v>
      </c>
      <c r="F20" s="23">
        <v>12.82</v>
      </c>
      <c r="G20" s="24">
        <f t="shared" si="0"/>
        <v>453.76515352623653</v>
      </c>
      <c r="H20" s="36">
        <v>8.2899999999999991</v>
      </c>
      <c r="I20" s="26">
        <f>[1]Dividend!P16</f>
        <v>0.75</v>
      </c>
      <c r="J20" s="22">
        <f>C159</f>
        <v>1.0670081092616304</v>
      </c>
      <c r="K20" s="24">
        <f t="shared" si="1"/>
        <v>338.89151999999996</v>
      </c>
      <c r="L20" s="33">
        <f t="shared" si="2"/>
        <v>-0.25315657809672382</v>
      </c>
      <c r="M20" s="28">
        <f t="shared" si="3"/>
        <v>-114.87363352623657</v>
      </c>
      <c r="N20" s="29">
        <v>20.11</v>
      </c>
      <c r="O20" s="30">
        <f>(N20+I20)*0.66</f>
        <v>13.7676</v>
      </c>
      <c r="P20" s="31">
        <f t="shared" si="4"/>
        <v>0.94759999999999955</v>
      </c>
    </row>
    <row r="21" spans="1:16" x14ac:dyDescent="0.2">
      <c r="A21" s="32" t="s">
        <v>47</v>
      </c>
      <c r="B21" s="20" t="s">
        <v>46</v>
      </c>
      <c r="C21" s="21">
        <v>44658</v>
      </c>
      <c r="D21" s="20">
        <v>60</v>
      </c>
      <c r="E21" s="22">
        <v>1.0878000000000001</v>
      </c>
      <c r="F21" s="23">
        <v>15.22</v>
      </c>
      <c r="G21" s="24">
        <f t="shared" si="0"/>
        <v>839.49255377826807</v>
      </c>
      <c r="H21" s="36">
        <f>'[1]auto data'!J13</f>
        <v>8.2899999999999991</v>
      </c>
      <c r="I21" s="26">
        <f>I20</f>
        <v>0.75</v>
      </c>
      <c r="J21" s="22">
        <f>C159</f>
        <v>1.0670081092616304</v>
      </c>
      <c r="K21" s="24">
        <f t="shared" si="1"/>
        <v>508.33727999999996</v>
      </c>
      <c r="L21" s="33">
        <f t="shared" si="2"/>
        <v>-0.39447076961892252</v>
      </c>
      <c r="M21" s="28">
        <f t="shared" si="3"/>
        <v>-331.15527377826811</v>
      </c>
      <c r="N21" s="29">
        <v>15.22</v>
      </c>
      <c r="O21" s="30">
        <f>(N21+I21)*0.66</f>
        <v>10.5402</v>
      </c>
      <c r="P21" s="34">
        <f t="shared" si="4"/>
        <v>-4.6798000000000002</v>
      </c>
    </row>
    <row r="22" spans="1:16" x14ac:dyDescent="0.2">
      <c r="A22" s="32" t="s">
        <v>48</v>
      </c>
      <c r="B22" s="20" t="s">
        <v>46</v>
      </c>
      <c r="C22" s="21">
        <v>44690</v>
      </c>
      <c r="D22" s="20">
        <v>50</v>
      </c>
      <c r="E22" s="22">
        <v>1.0529999999999999</v>
      </c>
      <c r="F22" s="23">
        <v>11.875</v>
      </c>
      <c r="G22" s="24">
        <f t="shared" si="0"/>
        <v>563.8651471984806</v>
      </c>
      <c r="H22" s="36">
        <f>'[1]auto data'!J13</f>
        <v>8.2899999999999991</v>
      </c>
      <c r="I22" s="26">
        <f>I20</f>
        <v>0.75</v>
      </c>
      <c r="J22" s="22">
        <f>C159</f>
        <v>1.0670081092616304</v>
      </c>
      <c r="K22" s="24">
        <f t="shared" si="1"/>
        <v>423.61439999999993</v>
      </c>
      <c r="L22" s="33">
        <f t="shared" si="2"/>
        <v>-0.24873100934736864</v>
      </c>
      <c r="M22" s="28">
        <f t="shared" si="3"/>
        <v>-140.25074719848067</v>
      </c>
      <c r="N22" s="29">
        <v>11.78</v>
      </c>
      <c r="O22" s="30">
        <f>(N22+I22)*0.66</f>
        <v>8.2698</v>
      </c>
      <c r="P22" s="34">
        <f t="shared" si="4"/>
        <v>-3.6052</v>
      </c>
    </row>
    <row r="23" spans="1:16" x14ac:dyDescent="0.2">
      <c r="A23" s="20" t="s">
        <v>49</v>
      </c>
      <c r="B23" s="20" t="s">
        <v>50</v>
      </c>
      <c r="C23" s="21">
        <v>44589</v>
      </c>
      <c r="D23" s="20">
        <v>50</v>
      </c>
      <c r="E23" s="22">
        <v>1.1152</v>
      </c>
      <c r="F23" s="23">
        <v>9.56</v>
      </c>
      <c r="G23" s="24">
        <f t="shared" si="0"/>
        <v>428.62266857962697</v>
      </c>
      <c r="H23" s="36">
        <v>7.32</v>
      </c>
      <c r="I23" s="26">
        <v>0</v>
      </c>
      <c r="J23" s="22">
        <f>C159</f>
        <v>1.0670081092616304</v>
      </c>
      <c r="K23" s="24">
        <f t="shared" si="1"/>
        <v>343.01519999999999</v>
      </c>
      <c r="L23" s="33">
        <f t="shared" si="2"/>
        <v>-0.1997268806694561</v>
      </c>
      <c r="M23" s="28">
        <f t="shared" si="3"/>
        <v>-85.607468579626982</v>
      </c>
      <c r="N23" s="29">
        <v>14.24</v>
      </c>
      <c r="O23" s="30">
        <f t="shared" si="5"/>
        <v>9.3984000000000005</v>
      </c>
      <c r="P23" s="34">
        <f t="shared" si="4"/>
        <v>-0.16159999999999997</v>
      </c>
    </row>
    <row r="24" spans="1:16" x14ac:dyDescent="0.2">
      <c r="A24" s="20" t="s">
        <v>51</v>
      </c>
      <c r="B24" s="20" t="s">
        <v>50</v>
      </c>
      <c r="C24" s="21">
        <v>44985</v>
      </c>
      <c r="D24" s="20">
        <v>100</v>
      </c>
      <c r="E24" s="22">
        <v>1.0586</v>
      </c>
      <c r="F24" s="23">
        <v>6.08</v>
      </c>
      <c r="G24" s="24">
        <f t="shared" si="0"/>
        <v>574.34347251086342</v>
      </c>
      <c r="H24" s="36">
        <f>'[1]auto data'!J14</f>
        <v>7.32</v>
      </c>
      <c r="I24" s="26">
        <v>0</v>
      </c>
      <c r="J24" s="22">
        <f>C159</f>
        <v>1.0670081092616304</v>
      </c>
      <c r="K24" s="24">
        <f t="shared" si="1"/>
        <v>686.03039999999999</v>
      </c>
      <c r="L24" s="27">
        <f t="shared" si="2"/>
        <v>0.19446016684210521</v>
      </c>
      <c r="M24" s="28">
        <f t="shared" si="3"/>
        <v>111.68692748913656</v>
      </c>
      <c r="N24" s="29">
        <v>15.24</v>
      </c>
      <c r="O24" s="30">
        <f>(N24+I24)*0.66</f>
        <v>10.058400000000001</v>
      </c>
      <c r="P24" s="34">
        <f t="shared" si="4"/>
        <v>3.9784000000000006</v>
      </c>
    </row>
    <row r="25" spans="1:16" x14ac:dyDescent="0.2">
      <c r="A25" s="20" t="s">
        <v>52</v>
      </c>
      <c r="B25" s="20" t="s">
        <v>53</v>
      </c>
      <c r="C25" s="21">
        <v>44795</v>
      </c>
      <c r="D25" s="20">
        <v>250</v>
      </c>
      <c r="E25" s="22">
        <v>0.99460000000000004</v>
      </c>
      <c r="F25" s="23">
        <v>1.9</v>
      </c>
      <c r="G25" s="24">
        <f t="shared" si="0"/>
        <v>477.578926201488</v>
      </c>
      <c r="H25" s="36">
        <v>1.93</v>
      </c>
      <c r="I25" s="26">
        <v>0</v>
      </c>
      <c r="J25" s="22">
        <f>C159</f>
        <v>1.0670081092616304</v>
      </c>
      <c r="K25" s="24">
        <f t="shared" si="1"/>
        <v>452.19900000000001</v>
      </c>
      <c r="L25" s="33">
        <f t="shared" si="2"/>
        <v>-5.3142893894736754E-2</v>
      </c>
      <c r="M25" s="28">
        <f t="shared" si="3"/>
        <v>-25.37992620148799</v>
      </c>
      <c r="N25" s="29">
        <v>1.9</v>
      </c>
      <c r="O25" s="30">
        <f>(N25+I25)*0.66</f>
        <v>1.254</v>
      </c>
      <c r="P25" s="34">
        <f t="shared" si="4"/>
        <v>-0.64599999999999991</v>
      </c>
    </row>
    <row r="26" spans="1:16" x14ac:dyDescent="0.2">
      <c r="A26" s="20" t="s">
        <v>54</v>
      </c>
      <c r="B26" s="20" t="s">
        <v>55</v>
      </c>
      <c r="C26" s="21">
        <v>44971</v>
      </c>
      <c r="D26" s="20">
        <v>300</v>
      </c>
      <c r="E26" s="22">
        <v>1.4255</v>
      </c>
      <c r="F26" s="23">
        <v>1.36</v>
      </c>
      <c r="G26" s="24">
        <f t="shared" si="0"/>
        <v>286.21536303051568</v>
      </c>
      <c r="H26" s="36">
        <f>'[1]auto data'!J16</f>
        <v>1.38</v>
      </c>
      <c r="I26" s="26">
        <v>0</v>
      </c>
      <c r="J26" s="22">
        <f>C160</f>
        <v>1.4652014652014651</v>
      </c>
      <c r="K26" s="24">
        <f t="shared" si="1"/>
        <v>282.55500000000001</v>
      </c>
      <c r="L26" s="33">
        <f t="shared" si="2"/>
        <v>-1.2788841911764912E-2</v>
      </c>
      <c r="M26" s="28">
        <f t="shared" si="3"/>
        <v>-3.6603630305156685</v>
      </c>
      <c r="N26" s="29">
        <v>1.36</v>
      </c>
      <c r="O26" s="30">
        <f>(N26+I26)*0.66</f>
        <v>0.89760000000000006</v>
      </c>
      <c r="P26" s="34">
        <f t="shared" si="4"/>
        <v>-0.46240000000000003</v>
      </c>
    </row>
    <row r="27" spans="1:16" x14ac:dyDescent="0.2">
      <c r="A27" s="2" t="s">
        <v>56</v>
      </c>
      <c r="B27" s="3"/>
      <c r="C27" s="3"/>
      <c r="D27" s="3"/>
      <c r="E27" s="3"/>
      <c r="F27" s="4"/>
      <c r="G27" s="5"/>
      <c r="H27" s="6"/>
      <c r="I27" s="6"/>
      <c r="J27" s="6"/>
      <c r="K27" s="7"/>
      <c r="L27" s="8" t="s">
        <v>1</v>
      </c>
      <c r="M27" s="9">
        <f>SUM(K29:K47)</f>
        <v>4518.1031850000008</v>
      </c>
      <c r="N27" s="10"/>
      <c r="O27" s="11"/>
      <c r="P27" s="12">
        <f>M27/P165</f>
        <v>8.3148275830415647E-2</v>
      </c>
    </row>
    <row r="28" spans="1:16" x14ac:dyDescent="0.2">
      <c r="A28" s="13" t="s">
        <v>2</v>
      </c>
      <c r="B28" s="13" t="s">
        <v>3</v>
      </c>
      <c r="C28" s="14" t="s">
        <v>4</v>
      </c>
      <c r="D28" s="13" t="s">
        <v>5</v>
      </c>
      <c r="E28" s="15" t="s">
        <v>6</v>
      </c>
      <c r="F28" s="13" t="s">
        <v>7</v>
      </c>
      <c r="G28" s="13" t="s">
        <v>8</v>
      </c>
      <c r="H28" s="16" t="s">
        <v>9</v>
      </c>
      <c r="I28" s="13" t="s">
        <v>10</v>
      </c>
      <c r="J28" s="15" t="s">
        <v>11</v>
      </c>
      <c r="K28" s="13" t="s">
        <v>12</v>
      </c>
      <c r="L28" s="13" t="s">
        <v>13</v>
      </c>
      <c r="M28" s="17" t="s">
        <v>14</v>
      </c>
      <c r="N28" s="18" t="s">
        <v>15</v>
      </c>
      <c r="O28" s="19" t="s">
        <v>16</v>
      </c>
      <c r="P28" s="17" t="s">
        <v>17</v>
      </c>
    </row>
    <row r="29" spans="1:16" x14ac:dyDescent="0.2">
      <c r="A29" s="35" t="s">
        <v>57</v>
      </c>
      <c r="B29" s="20" t="s">
        <v>58</v>
      </c>
      <c r="C29" s="21">
        <v>44054</v>
      </c>
      <c r="D29" s="20">
        <v>400</v>
      </c>
      <c r="E29" s="22">
        <v>1.49</v>
      </c>
      <c r="F29" s="23">
        <v>2.355</v>
      </c>
      <c r="G29" s="24">
        <f t="shared" ref="G29:G35" si="6">(F29*D29)/E29</f>
        <v>632.21476510067112</v>
      </c>
      <c r="H29" s="25">
        <f>'[1]auto data'!M3</f>
        <v>1.36</v>
      </c>
      <c r="I29" s="20">
        <v>0</v>
      </c>
      <c r="J29" s="22">
        <f>C160</f>
        <v>1.4652014652014651</v>
      </c>
      <c r="K29" s="24">
        <f>((H29+I29)/J29)*D29</f>
        <v>371.28000000000003</v>
      </c>
      <c r="L29" s="33">
        <f t="shared" ref="L29:L35" si="7">(K29-G29)/G29</f>
        <v>-0.41273121019108272</v>
      </c>
      <c r="M29" s="28">
        <f t="shared" ref="M29:M47" si="8">K29-G29</f>
        <v>-260.93476510067109</v>
      </c>
      <c r="N29" s="29">
        <v>3.65</v>
      </c>
      <c r="O29" s="30">
        <f>(N29+I29)*0.5</f>
        <v>1.825</v>
      </c>
      <c r="P29" s="34">
        <f t="shared" ref="P29:P35" si="9">O29-F29</f>
        <v>-0.53</v>
      </c>
    </row>
    <row r="30" spans="1:16" x14ac:dyDescent="0.2">
      <c r="A30" s="35" t="s">
        <v>59</v>
      </c>
      <c r="B30" s="20" t="s">
        <v>60</v>
      </c>
      <c r="C30" s="21">
        <v>44096</v>
      </c>
      <c r="D30" s="20">
        <v>1500</v>
      </c>
      <c r="E30" s="22">
        <v>1.49</v>
      </c>
      <c r="F30" s="23">
        <v>0.28000000000000003</v>
      </c>
      <c r="G30" s="24">
        <f t="shared" si="6"/>
        <v>281.87919463087252</v>
      </c>
      <c r="H30" s="25">
        <f>'[1]auto data'!M4</f>
        <v>9.5000000000000001E-2</v>
      </c>
      <c r="I30" s="20">
        <v>0</v>
      </c>
      <c r="J30" s="22">
        <f>C160</f>
        <v>1.4652014652014651</v>
      </c>
      <c r="K30" s="24">
        <f>((H30+I30)/J30)*D30</f>
        <v>97.256250000000009</v>
      </c>
      <c r="L30" s="33">
        <f t="shared" si="7"/>
        <v>-0.65497187499999998</v>
      </c>
      <c r="M30" s="28">
        <f t="shared" si="8"/>
        <v>-184.6229446308725</v>
      </c>
      <c r="N30" s="29">
        <v>0.7</v>
      </c>
      <c r="O30" s="30">
        <f>(N30+I30)*0.5</f>
        <v>0.35</v>
      </c>
      <c r="P30" s="34">
        <f t="shared" si="9"/>
        <v>6.9999999999999951E-2</v>
      </c>
    </row>
    <row r="31" spans="1:16" x14ac:dyDescent="0.2">
      <c r="A31" s="20" t="s">
        <v>61</v>
      </c>
      <c r="B31" s="20" t="s">
        <v>62</v>
      </c>
      <c r="C31" s="21">
        <v>44159</v>
      </c>
      <c r="D31" s="20">
        <v>300</v>
      </c>
      <c r="E31" s="22">
        <v>1.55</v>
      </c>
      <c r="F31" s="23">
        <v>1.19</v>
      </c>
      <c r="G31" s="24">
        <f t="shared" si="6"/>
        <v>230.32258064516128</v>
      </c>
      <c r="H31" s="25">
        <f>'[1]auto data'!M5</f>
        <v>0.27</v>
      </c>
      <c r="I31" s="20">
        <v>0</v>
      </c>
      <c r="J31" s="22">
        <f>C160</f>
        <v>1.4652014652014651</v>
      </c>
      <c r="K31" s="24">
        <f>((H31+I31)/J31)*D31</f>
        <v>55.282500000000006</v>
      </c>
      <c r="L31" s="33">
        <f t="shared" si="7"/>
        <v>-0.75997794117647055</v>
      </c>
      <c r="M31" s="28">
        <f t="shared" si="8"/>
        <v>-175.04008064516128</v>
      </c>
      <c r="N31" s="29">
        <v>1.25</v>
      </c>
      <c r="O31" s="30">
        <f>(N31+I31)*0.5</f>
        <v>0.625</v>
      </c>
      <c r="P31" s="34">
        <f t="shared" si="9"/>
        <v>-0.56499999999999995</v>
      </c>
    </row>
    <row r="32" spans="1:16" x14ac:dyDescent="0.2">
      <c r="A32" s="35" t="s">
        <v>63</v>
      </c>
      <c r="B32" s="20" t="s">
        <v>64</v>
      </c>
      <c r="C32" s="21">
        <v>44203</v>
      </c>
      <c r="D32" s="20">
        <v>2000</v>
      </c>
      <c r="E32" s="22">
        <v>1.4155</v>
      </c>
      <c r="F32" s="23">
        <v>0.57399999999999995</v>
      </c>
      <c r="G32" s="24">
        <f t="shared" si="6"/>
        <v>811.0208406923349</v>
      </c>
      <c r="H32" s="25">
        <f>'[1]auto data'!M6</f>
        <v>0.26</v>
      </c>
      <c r="I32" s="20">
        <v>0</v>
      </c>
      <c r="J32" s="22">
        <f>C160</f>
        <v>1.4652014652014651</v>
      </c>
      <c r="K32" s="24">
        <f>((H32+I32)/J32)*D32</f>
        <v>354.90000000000003</v>
      </c>
      <c r="L32" s="33">
        <f t="shared" si="7"/>
        <v>-0.56240335365853655</v>
      </c>
      <c r="M32" s="28">
        <f t="shared" si="8"/>
        <v>-456.12084069233487</v>
      </c>
      <c r="N32" s="29">
        <v>0.62</v>
      </c>
      <c r="O32" s="30">
        <f>(N32+I32)*0.5</f>
        <v>0.31</v>
      </c>
      <c r="P32" s="34">
        <f t="shared" si="9"/>
        <v>-0.26399999999999996</v>
      </c>
    </row>
    <row r="33" spans="1:16" x14ac:dyDescent="0.2">
      <c r="A33" s="20" t="s">
        <v>65</v>
      </c>
      <c r="B33" s="20" t="s">
        <v>66</v>
      </c>
      <c r="C33" s="21">
        <v>43837</v>
      </c>
      <c r="D33" s="20">
        <v>720</v>
      </c>
      <c r="E33" s="22">
        <v>1.45</v>
      </c>
      <c r="F33" s="23">
        <v>0.81</v>
      </c>
      <c r="G33" s="24">
        <f t="shared" si="6"/>
        <v>402.20689655172418</v>
      </c>
      <c r="H33" s="25">
        <f>'[1]auto data'!M7</f>
        <v>0.65</v>
      </c>
      <c r="I33" s="20">
        <v>0</v>
      </c>
      <c r="J33" s="22">
        <f>C160</f>
        <v>1.4652014652014651</v>
      </c>
      <c r="K33" s="24">
        <f>((H33+I33)/J33)*D33</f>
        <v>319.41000000000003</v>
      </c>
      <c r="L33" s="33">
        <f t="shared" si="7"/>
        <v>-0.2058564814814815</v>
      </c>
      <c r="M33" s="28">
        <f t="shared" si="8"/>
        <v>-82.79689655172416</v>
      </c>
      <c r="N33" s="29">
        <v>1.55</v>
      </c>
      <c r="O33" s="30">
        <f>(N33+I33)*0.33</f>
        <v>0.51150000000000007</v>
      </c>
      <c r="P33" s="34">
        <f t="shared" si="9"/>
        <v>-0.29849999999999999</v>
      </c>
    </row>
    <row r="34" spans="1:16" x14ac:dyDescent="0.2">
      <c r="A34" s="35" t="s">
        <v>67</v>
      </c>
      <c r="B34" s="20" t="s">
        <v>68</v>
      </c>
      <c r="C34" s="21">
        <v>44246</v>
      </c>
      <c r="D34" s="20">
        <v>2000</v>
      </c>
      <c r="E34" s="22">
        <v>1.47</v>
      </c>
      <c r="F34" s="23">
        <v>0.497</v>
      </c>
      <c r="G34" s="24">
        <f t="shared" si="6"/>
        <v>676.19047619047615</v>
      </c>
      <c r="H34" s="25">
        <f>'[1]auto data'!M8</f>
        <v>0.26500000000000001</v>
      </c>
      <c r="I34" s="37">
        <v>0</v>
      </c>
      <c r="J34" s="22">
        <f>C160</f>
        <v>1.4652014652014651</v>
      </c>
      <c r="K34" s="24">
        <f>((H35+I34)/J34)*D34</f>
        <v>245.7</v>
      </c>
      <c r="L34" s="33">
        <f t="shared" si="7"/>
        <v>-0.63664084507042251</v>
      </c>
      <c r="M34" s="28">
        <f t="shared" si="8"/>
        <v>-430.49047619047616</v>
      </c>
      <c r="N34" s="29">
        <v>0.51</v>
      </c>
      <c r="O34" s="30">
        <f>(N34+I34)*0.66</f>
        <v>0.33660000000000001</v>
      </c>
      <c r="P34" s="34">
        <f t="shared" si="9"/>
        <v>-0.16039999999999999</v>
      </c>
    </row>
    <row r="35" spans="1:16" x14ac:dyDescent="0.2">
      <c r="A35" s="35" t="s">
        <v>69</v>
      </c>
      <c r="B35" s="20" t="s">
        <v>70</v>
      </c>
      <c r="C35" s="21">
        <v>44376</v>
      </c>
      <c r="D35" s="20">
        <v>2000</v>
      </c>
      <c r="E35" s="22">
        <v>1.46</v>
      </c>
      <c r="F35" s="23">
        <v>0.375</v>
      </c>
      <c r="G35" s="24">
        <f t="shared" si="6"/>
        <v>513.69863013698637</v>
      </c>
      <c r="H35" s="25">
        <f>'[1]auto data'!M9</f>
        <v>0.18</v>
      </c>
      <c r="I35" s="37">
        <v>0</v>
      </c>
      <c r="J35" s="22">
        <f>C160</f>
        <v>1.4652014652014651</v>
      </c>
      <c r="K35" s="24">
        <f>((H35+I35)/J35)*D35</f>
        <v>245.7</v>
      </c>
      <c r="L35" s="33">
        <f t="shared" si="7"/>
        <v>-0.52170400000000006</v>
      </c>
      <c r="M35" s="28">
        <f t="shared" si="8"/>
        <v>-267.99863013698638</v>
      </c>
      <c r="N35" s="29">
        <v>0.44</v>
      </c>
      <c r="O35" s="30">
        <f t="shared" ref="O35:O47" si="10">(N35+I35)*0.5</f>
        <v>0.22</v>
      </c>
      <c r="P35" s="34">
        <f t="shared" si="9"/>
        <v>-0.155</v>
      </c>
    </row>
    <row r="36" spans="1:16" x14ac:dyDescent="0.2">
      <c r="A36" s="20" t="s">
        <v>71</v>
      </c>
      <c r="B36" s="20" t="s">
        <v>72</v>
      </c>
      <c r="C36" s="21">
        <v>44396</v>
      </c>
      <c r="D36" s="20">
        <v>66</v>
      </c>
      <c r="E36" s="22">
        <v>1.5044</v>
      </c>
      <c r="F36" s="23">
        <v>0.72899999999999998</v>
      </c>
      <c r="G36" s="24">
        <v>0</v>
      </c>
      <c r="H36" s="25">
        <f>'[1]auto data'!M10</f>
        <v>0.315</v>
      </c>
      <c r="I36" s="37">
        <v>0</v>
      </c>
      <c r="J36" s="22">
        <f>C160</f>
        <v>1.4652014652014651</v>
      </c>
      <c r="K36" s="24">
        <f>((H36+I36)/J36)*D36</f>
        <v>14.189175000000002</v>
      </c>
      <c r="L36" s="38" t="s">
        <v>73</v>
      </c>
      <c r="M36" s="28">
        <f t="shared" si="8"/>
        <v>14.189175000000002</v>
      </c>
      <c r="N36" s="29"/>
      <c r="O36" s="30"/>
      <c r="P36" s="34"/>
    </row>
    <row r="37" spans="1:16" x14ac:dyDescent="0.2">
      <c r="A37" s="20" t="s">
        <v>74</v>
      </c>
      <c r="B37" s="20" t="s">
        <v>75</v>
      </c>
      <c r="C37" s="21">
        <v>44438</v>
      </c>
      <c r="D37" s="20">
        <v>5000</v>
      </c>
      <c r="E37" s="22">
        <v>1.4879</v>
      </c>
      <c r="F37" s="39">
        <v>6.5000000000000002E-2</v>
      </c>
      <c r="G37" s="24">
        <f t="shared" ref="G37:G47" si="11">(F37*D37)/E37</f>
        <v>218.4286578399086</v>
      </c>
      <c r="H37" s="25">
        <f>'[1]auto data'!M11</f>
        <v>2.5000000000000001E-2</v>
      </c>
      <c r="I37" s="37">
        <v>0</v>
      </c>
      <c r="J37" s="22">
        <f>C160</f>
        <v>1.4652014652014651</v>
      </c>
      <c r="K37" s="24">
        <f t="shared" ref="K37:K44" si="12">((H37+I37)/J37)*D37</f>
        <v>85.3125</v>
      </c>
      <c r="L37" s="33">
        <f t="shared" ref="L37:L44" si="13">(K37-G37)/G37</f>
        <v>-0.60942624999999995</v>
      </c>
      <c r="M37" s="28">
        <f t="shared" si="8"/>
        <v>-133.1161578399086</v>
      </c>
      <c r="N37" s="29">
        <v>6.5000000000000002E-2</v>
      </c>
      <c r="O37" s="30">
        <f t="shared" si="10"/>
        <v>3.2500000000000001E-2</v>
      </c>
      <c r="P37" s="34">
        <f t="shared" ref="P37:P44" si="14">O37-F37</f>
        <v>-3.2500000000000001E-2</v>
      </c>
    </row>
    <row r="38" spans="1:16" x14ac:dyDescent="0.2">
      <c r="A38" s="35" t="s">
        <v>76</v>
      </c>
      <c r="B38" s="20" t="s">
        <v>77</v>
      </c>
      <c r="C38" s="21">
        <v>44498</v>
      </c>
      <c r="D38" s="20">
        <v>600</v>
      </c>
      <c r="E38" s="22">
        <v>1.43</v>
      </c>
      <c r="F38" s="39">
        <v>1.34</v>
      </c>
      <c r="G38" s="24">
        <f t="shared" si="11"/>
        <v>562.23776223776224</v>
      </c>
      <c r="H38" s="25">
        <f>'[1]auto data'!M12</f>
        <v>0.35</v>
      </c>
      <c r="I38" s="37">
        <v>0</v>
      </c>
      <c r="J38" s="22">
        <f>C160</f>
        <v>1.4652014652014651</v>
      </c>
      <c r="K38" s="24">
        <f t="shared" si="12"/>
        <v>143.32499999999999</v>
      </c>
      <c r="L38" s="33">
        <f t="shared" si="13"/>
        <v>-0.74508115671641795</v>
      </c>
      <c r="M38" s="28">
        <f t="shared" si="8"/>
        <v>-418.91276223776225</v>
      </c>
      <c r="N38" s="29">
        <v>1.5</v>
      </c>
      <c r="O38" s="30">
        <f t="shared" si="10"/>
        <v>0.75</v>
      </c>
      <c r="P38" s="34">
        <f t="shared" si="14"/>
        <v>-0.59000000000000008</v>
      </c>
    </row>
    <row r="39" spans="1:16" x14ac:dyDescent="0.2">
      <c r="A39" s="35" t="s">
        <v>78</v>
      </c>
      <c r="B39" s="20" t="s">
        <v>79</v>
      </c>
      <c r="C39" s="21">
        <v>44517</v>
      </c>
      <c r="D39" s="20">
        <v>4000</v>
      </c>
      <c r="E39" s="22">
        <v>1.3869</v>
      </c>
      <c r="F39" s="39">
        <v>0.184</v>
      </c>
      <c r="G39" s="24">
        <f t="shared" si="11"/>
        <v>530.67993366500832</v>
      </c>
      <c r="H39" s="25">
        <f>'[1]auto data'!M13</f>
        <v>0.1</v>
      </c>
      <c r="I39" s="37">
        <v>0</v>
      </c>
      <c r="J39" s="22">
        <f>C160</f>
        <v>1.4652014652014651</v>
      </c>
      <c r="K39" s="24">
        <f t="shared" si="12"/>
        <v>273</v>
      </c>
      <c r="L39" s="33">
        <f t="shared" si="13"/>
        <v>-0.485565625</v>
      </c>
      <c r="M39" s="28">
        <f t="shared" si="8"/>
        <v>-257.67993366500832</v>
      </c>
      <c r="N39" s="29">
        <v>0.27500000000000002</v>
      </c>
      <c r="O39" s="30">
        <f t="shared" si="10"/>
        <v>0.13750000000000001</v>
      </c>
      <c r="P39" s="34">
        <f t="shared" si="14"/>
        <v>-4.6499999999999986E-2</v>
      </c>
    </row>
    <row r="40" spans="1:16" x14ac:dyDescent="0.2">
      <c r="A40" s="35" t="s">
        <v>80</v>
      </c>
      <c r="B40" s="20" t="s">
        <v>81</v>
      </c>
      <c r="C40" s="21">
        <v>44621</v>
      </c>
      <c r="D40" s="20">
        <v>800</v>
      </c>
      <c r="E40" s="22">
        <v>1.4169</v>
      </c>
      <c r="F40" s="39">
        <v>0.9</v>
      </c>
      <c r="G40" s="24">
        <f t="shared" si="11"/>
        <v>508.15159856023712</v>
      </c>
      <c r="H40" s="25">
        <f>'[1]auto data'!M14</f>
        <v>0.32</v>
      </c>
      <c r="I40" s="37">
        <v>0</v>
      </c>
      <c r="J40" s="22">
        <f>C160</f>
        <v>1.4652014652014651</v>
      </c>
      <c r="K40" s="24">
        <f t="shared" si="12"/>
        <v>174.72</v>
      </c>
      <c r="L40" s="33">
        <f t="shared" si="13"/>
        <v>-0.65616560000000002</v>
      </c>
      <c r="M40" s="28">
        <f t="shared" si="8"/>
        <v>-333.43159856023715</v>
      </c>
      <c r="N40" s="29">
        <v>1.1200000000000001</v>
      </c>
      <c r="O40" s="30">
        <f t="shared" si="10"/>
        <v>0.56000000000000005</v>
      </c>
      <c r="P40" s="34">
        <f t="shared" si="14"/>
        <v>-0.33999999999999997</v>
      </c>
    </row>
    <row r="41" spans="1:16" x14ac:dyDescent="0.2">
      <c r="A41" s="35" t="s">
        <v>82</v>
      </c>
      <c r="B41" s="20" t="s">
        <v>83</v>
      </c>
      <c r="C41" s="21">
        <v>44628</v>
      </c>
      <c r="D41" s="20">
        <v>500</v>
      </c>
      <c r="E41" s="22">
        <v>1.4157</v>
      </c>
      <c r="F41" s="39">
        <v>1.04</v>
      </c>
      <c r="G41" s="24">
        <f t="shared" si="11"/>
        <v>367.30945821854914</v>
      </c>
      <c r="H41" s="25">
        <f>'[1]auto data'!M15</f>
        <v>0.81</v>
      </c>
      <c r="I41" s="37">
        <v>0</v>
      </c>
      <c r="J41" s="22">
        <f>C160</f>
        <v>1.4652014652014651</v>
      </c>
      <c r="K41" s="24">
        <f t="shared" si="12"/>
        <v>276.41250000000008</v>
      </c>
      <c r="L41" s="33">
        <f t="shared" si="13"/>
        <v>-0.24746696874999979</v>
      </c>
      <c r="M41" s="28">
        <f t="shared" si="8"/>
        <v>-90.896958218549059</v>
      </c>
      <c r="N41" s="29">
        <v>1.25</v>
      </c>
      <c r="O41" s="30">
        <f t="shared" si="10"/>
        <v>0.625</v>
      </c>
      <c r="P41" s="34">
        <f t="shared" si="14"/>
        <v>-0.41500000000000004</v>
      </c>
    </row>
    <row r="42" spans="1:16" x14ac:dyDescent="0.2">
      <c r="A42" s="35" t="s">
        <v>84</v>
      </c>
      <c r="B42" s="20" t="s">
        <v>85</v>
      </c>
      <c r="C42" s="21">
        <v>44628</v>
      </c>
      <c r="D42" s="20">
        <v>2000</v>
      </c>
      <c r="E42" s="22">
        <v>1.0708</v>
      </c>
      <c r="F42" s="39">
        <v>0.34375</v>
      </c>
      <c r="G42" s="24">
        <f t="shared" si="11"/>
        <v>642.04333208815842</v>
      </c>
      <c r="H42" s="25">
        <f>'[1]auto data'!M16</f>
        <v>0.19539999999999999</v>
      </c>
      <c r="I42" s="37">
        <v>0</v>
      </c>
      <c r="J42" s="22">
        <f>C159</f>
        <v>1.0670081092616304</v>
      </c>
      <c r="K42" s="24">
        <f t="shared" si="12"/>
        <v>366.25775999999996</v>
      </c>
      <c r="L42" s="33">
        <f t="shared" si="13"/>
        <v>-0.42954354995200011</v>
      </c>
      <c r="M42" s="28">
        <f t="shared" si="8"/>
        <v>-275.78557208815846</v>
      </c>
      <c r="N42" s="29">
        <v>0.93500000000000005</v>
      </c>
      <c r="O42" s="30">
        <f t="shared" si="10"/>
        <v>0.46750000000000003</v>
      </c>
      <c r="P42" s="34">
        <f t="shared" si="14"/>
        <v>0.12375000000000003</v>
      </c>
    </row>
    <row r="43" spans="1:16" x14ac:dyDescent="0.2">
      <c r="A43" s="35" t="s">
        <v>86</v>
      </c>
      <c r="B43" s="20" t="s">
        <v>87</v>
      </c>
      <c r="C43" s="21">
        <v>44635</v>
      </c>
      <c r="D43" s="20">
        <v>600</v>
      </c>
      <c r="E43" s="22">
        <v>1.4024000000000001</v>
      </c>
      <c r="F43" s="39">
        <v>1.51</v>
      </c>
      <c r="G43" s="24">
        <f t="shared" si="11"/>
        <v>646.03536794067304</v>
      </c>
      <c r="H43" s="25">
        <f>'[1]auto data'!M17</f>
        <v>0.66</v>
      </c>
      <c r="I43" s="37">
        <v>0</v>
      </c>
      <c r="J43" s="22">
        <f>C160</f>
        <v>1.4652014652014651</v>
      </c>
      <c r="K43" s="24">
        <f t="shared" si="12"/>
        <v>270.27000000000004</v>
      </c>
      <c r="L43" s="33">
        <f t="shared" si="13"/>
        <v>-0.58164829139072838</v>
      </c>
      <c r="M43" s="28">
        <f t="shared" si="8"/>
        <v>-375.765367940673</v>
      </c>
      <c r="N43" s="29">
        <v>2.77</v>
      </c>
      <c r="O43" s="30">
        <f t="shared" si="10"/>
        <v>1.385</v>
      </c>
      <c r="P43" s="34">
        <f t="shared" si="14"/>
        <v>-0.125</v>
      </c>
    </row>
    <row r="44" spans="1:16" x14ac:dyDescent="0.2">
      <c r="A44" s="35" t="s">
        <v>88</v>
      </c>
      <c r="B44" s="20" t="s">
        <v>89</v>
      </c>
      <c r="C44" s="21">
        <v>44651</v>
      </c>
      <c r="D44" s="20">
        <v>4000</v>
      </c>
      <c r="E44" s="22">
        <v>1.3812</v>
      </c>
      <c r="F44" s="39">
        <v>0.25650000000000001</v>
      </c>
      <c r="G44" s="24">
        <f t="shared" si="11"/>
        <v>742.83231972198087</v>
      </c>
      <c r="H44" s="25">
        <f>'[1]auto data'!M18</f>
        <v>0.11</v>
      </c>
      <c r="I44" s="37">
        <v>0</v>
      </c>
      <c r="J44" s="22">
        <f>C160</f>
        <v>1.4652014652014651</v>
      </c>
      <c r="K44" s="24">
        <f t="shared" si="12"/>
        <v>300.3</v>
      </c>
      <c r="L44" s="33">
        <f t="shared" si="13"/>
        <v>-0.59573649122807015</v>
      </c>
      <c r="M44" s="28">
        <f t="shared" si="8"/>
        <v>-442.53231972198085</v>
      </c>
      <c r="N44" s="29">
        <v>0.45</v>
      </c>
      <c r="O44" s="30">
        <f t="shared" si="10"/>
        <v>0.22500000000000001</v>
      </c>
      <c r="P44" s="34">
        <f t="shared" si="14"/>
        <v>-3.15E-2</v>
      </c>
    </row>
    <row r="45" spans="1:16" x14ac:dyDescent="0.2">
      <c r="A45" s="35" t="s">
        <v>90</v>
      </c>
      <c r="B45" s="20" t="s">
        <v>91</v>
      </c>
      <c r="C45" s="21">
        <v>44657</v>
      </c>
      <c r="D45" s="20">
        <v>500</v>
      </c>
      <c r="E45" s="22">
        <v>1.3677999999999999</v>
      </c>
      <c r="F45" s="39">
        <v>1.595</v>
      </c>
      <c r="G45" s="24">
        <f t="shared" si="11"/>
        <v>583.05307793537065</v>
      </c>
      <c r="H45" s="25">
        <f>'[1]auto data'!M19</f>
        <v>1.03</v>
      </c>
      <c r="I45" s="37">
        <v>0</v>
      </c>
      <c r="J45" s="22">
        <f>C160</f>
        <v>1.4652014652014651</v>
      </c>
      <c r="K45" s="24">
        <f>((H45+I45)/J45)*D45</f>
        <v>351.48750000000001</v>
      </c>
      <c r="L45" s="33">
        <f>(K45-G45)/G45</f>
        <v>-0.3971603730407523</v>
      </c>
      <c r="M45" s="28">
        <f t="shared" si="8"/>
        <v>-231.56557793537064</v>
      </c>
      <c r="N45" s="29">
        <v>1.75</v>
      </c>
      <c r="O45" s="30">
        <f t="shared" si="10"/>
        <v>0.875</v>
      </c>
      <c r="P45" s="34">
        <f>O45-F45</f>
        <v>-0.72</v>
      </c>
    </row>
    <row r="46" spans="1:16" x14ac:dyDescent="0.2">
      <c r="A46" s="35" t="s">
        <v>92</v>
      </c>
      <c r="B46" s="20" t="s">
        <v>93</v>
      </c>
      <c r="C46" s="21">
        <v>44676</v>
      </c>
      <c r="D46" s="20">
        <v>6000</v>
      </c>
      <c r="E46" s="22">
        <v>1.3876999999999999</v>
      </c>
      <c r="F46" s="39">
        <v>6.6000000000000003E-2</v>
      </c>
      <c r="G46" s="24">
        <f t="shared" si="11"/>
        <v>285.36427181667511</v>
      </c>
      <c r="H46" s="25">
        <f>'[1]auto data'!M20</f>
        <v>0.05</v>
      </c>
      <c r="I46" s="37">
        <v>0</v>
      </c>
      <c r="J46" s="22">
        <f>C160</f>
        <v>1.4652014652014651</v>
      </c>
      <c r="K46" s="24">
        <f>((H46+I46)/J46)*D46</f>
        <v>204.75000000000003</v>
      </c>
      <c r="L46" s="33">
        <f>(K46-G46)/G46</f>
        <v>-0.28249602272727276</v>
      </c>
      <c r="M46" s="28">
        <f t="shared" si="8"/>
        <v>-80.614271816675085</v>
      </c>
      <c r="N46" s="29">
        <v>0.14000000000000001</v>
      </c>
      <c r="O46" s="30">
        <f t="shared" si="10"/>
        <v>7.0000000000000007E-2</v>
      </c>
      <c r="P46" s="34">
        <f>O46-F46</f>
        <v>4.0000000000000036E-3</v>
      </c>
    </row>
    <row r="47" spans="1:16" x14ac:dyDescent="0.2">
      <c r="A47" s="35" t="s">
        <v>94</v>
      </c>
      <c r="B47" s="20" t="s">
        <v>95</v>
      </c>
      <c r="C47" s="21">
        <v>44712</v>
      </c>
      <c r="D47" s="20">
        <v>1000</v>
      </c>
      <c r="E47" s="22">
        <v>1.3902000000000001</v>
      </c>
      <c r="F47" s="39">
        <v>0.54500000000000004</v>
      </c>
      <c r="G47" s="24">
        <f t="shared" si="11"/>
        <v>392.02992375197812</v>
      </c>
      <c r="H47" s="25">
        <f>'[1]auto data'!M21</f>
        <v>0.54</v>
      </c>
      <c r="I47" s="37">
        <v>0</v>
      </c>
      <c r="J47" s="22">
        <f>C160</f>
        <v>1.4652014652014651</v>
      </c>
      <c r="K47" s="24">
        <f>((H47+I47)/J47)*D47</f>
        <v>368.55000000000007</v>
      </c>
      <c r="L47" s="33">
        <f>(K47-G47)/G47</f>
        <v>-5.9893192660550251E-2</v>
      </c>
      <c r="M47" s="28">
        <f t="shared" si="8"/>
        <v>-23.479923751978049</v>
      </c>
      <c r="N47" s="29">
        <v>0.62</v>
      </c>
      <c r="O47" s="30">
        <f t="shared" si="10"/>
        <v>0.31</v>
      </c>
      <c r="P47" s="34">
        <f>O47-F47</f>
        <v>-0.23500000000000004</v>
      </c>
    </row>
    <row r="48" spans="1:16" x14ac:dyDescent="0.2">
      <c r="A48" s="2" t="s">
        <v>96</v>
      </c>
      <c r="B48" s="3"/>
      <c r="C48" s="3"/>
      <c r="D48" s="3"/>
      <c r="E48" s="3"/>
      <c r="F48" s="4"/>
      <c r="G48" s="5"/>
      <c r="H48" s="6"/>
      <c r="I48" s="6"/>
      <c r="J48" s="6"/>
      <c r="K48" s="7"/>
      <c r="L48" s="8" t="s">
        <v>1</v>
      </c>
      <c r="M48" s="9">
        <f>SUM(K50:K62)</f>
        <v>19589.724844000004</v>
      </c>
      <c r="N48" s="10"/>
      <c r="O48" s="11"/>
      <c r="P48" s="12">
        <f>M48/P165</f>
        <v>0.36051674299484998</v>
      </c>
    </row>
    <row r="49" spans="1:16" x14ac:dyDescent="0.2">
      <c r="A49" s="13" t="s">
        <v>2</v>
      </c>
      <c r="B49" s="13" t="s">
        <v>3</v>
      </c>
      <c r="C49" s="14" t="s">
        <v>4</v>
      </c>
      <c r="D49" s="13" t="s">
        <v>5</v>
      </c>
      <c r="E49" s="15" t="s">
        <v>6</v>
      </c>
      <c r="F49" s="13" t="s">
        <v>7</v>
      </c>
      <c r="G49" s="13" t="s">
        <v>8</v>
      </c>
      <c r="H49" s="16" t="s">
        <v>9</v>
      </c>
      <c r="I49" s="13" t="s">
        <v>10</v>
      </c>
      <c r="J49" s="15" t="s">
        <v>11</v>
      </c>
      <c r="K49" s="13" t="s">
        <v>12</v>
      </c>
      <c r="L49" s="13" t="s">
        <v>13</v>
      </c>
      <c r="M49" s="17" t="s">
        <v>14</v>
      </c>
      <c r="N49" s="18" t="s">
        <v>15</v>
      </c>
      <c r="O49" s="19" t="s">
        <v>16</v>
      </c>
      <c r="P49" s="17" t="s">
        <v>17</v>
      </c>
    </row>
    <row r="50" spans="1:16" x14ac:dyDescent="0.2">
      <c r="A50" s="20" t="s">
        <v>97</v>
      </c>
      <c r="B50" s="20" t="s">
        <v>98</v>
      </c>
      <c r="C50" s="21">
        <v>43906</v>
      </c>
      <c r="D50" s="20">
        <v>900</v>
      </c>
      <c r="E50" s="22">
        <v>1.1200000000000001</v>
      </c>
      <c r="F50" s="23">
        <v>2.5</v>
      </c>
      <c r="G50" s="24">
        <f t="shared" ref="G50:G62" si="15">(F50*D50)/E50</f>
        <v>2008.9285714285713</v>
      </c>
      <c r="H50" s="40">
        <v>3.53</v>
      </c>
      <c r="I50" s="26">
        <f>[1]Dividend!P9</f>
        <v>1.1400000000000001</v>
      </c>
      <c r="J50" s="22">
        <f>C159</f>
        <v>1.0670081092616304</v>
      </c>
      <c r="K50" s="24">
        <f t="shared" ref="K50:K62" si="16">((H50+I50)/J50)*D50</f>
        <v>3939.0516000000002</v>
      </c>
      <c r="L50" s="27">
        <f t="shared" ref="L50:L56" si="17">(K50-G50)/G50</f>
        <v>0.96077235200000022</v>
      </c>
      <c r="M50" s="28">
        <f t="shared" ref="M50:M62" si="18">K50-G50</f>
        <v>1930.1230285714289</v>
      </c>
      <c r="N50" s="29">
        <v>4.25</v>
      </c>
      <c r="O50" s="30">
        <f t="shared" ref="O50:O56" si="19">(N50+I50)*0.75</f>
        <v>4.0425000000000004</v>
      </c>
      <c r="P50" s="31">
        <f t="shared" ref="P50:P56" si="20">O50-F50</f>
        <v>1.5425000000000004</v>
      </c>
    </row>
    <row r="51" spans="1:16" x14ac:dyDescent="0.2">
      <c r="A51" s="20" t="s">
        <v>99</v>
      </c>
      <c r="B51" s="20" t="s">
        <v>100</v>
      </c>
      <c r="C51" s="21">
        <v>44137</v>
      </c>
      <c r="D51" s="20">
        <v>30</v>
      </c>
      <c r="E51" s="22">
        <v>1.1639999999999999</v>
      </c>
      <c r="F51" s="23">
        <v>36.47</v>
      </c>
      <c r="G51" s="24">
        <f t="shared" si="15"/>
        <v>939.94845360824741</v>
      </c>
      <c r="H51" s="40">
        <v>45.32</v>
      </c>
      <c r="I51" s="26">
        <f>[1]Dividend!P10</f>
        <v>8.06</v>
      </c>
      <c r="J51" s="22">
        <f>C159</f>
        <v>1.0670081092616304</v>
      </c>
      <c r="K51" s="24">
        <f t="shared" si="16"/>
        <v>1500.8320800000001</v>
      </c>
      <c r="L51" s="27">
        <f t="shared" si="17"/>
        <v>0.59671743087469165</v>
      </c>
      <c r="M51" s="28">
        <f t="shared" si="18"/>
        <v>560.88362639175273</v>
      </c>
      <c r="N51" s="29">
        <v>55.37</v>
      </c>
      <c r="O51" s="30">
        <f t="shared" si="19"/>
        <v>47.572499999999998</v>
      </c>
      <c r="P51" s="31">
        <f t="shared" si="20"/>
        <v>11.102499999999999</v>
      </c>
    </row>
    <row r="52" spans="1:16" x14ac:dyDescent="0.2">
      <c r="A52" s="20" t="s">
        <v>101</v>
      </c>
      <c r="B52" s="20" t="s">
        <v>102</v>
      </c>
      <c r="C52" s="21">
        <v>44403</v>
      </c>
      <c r="D52" s="20">
        <v>100</v>
      </c>
      <c r="E52" s="22">
        <v>1</v>
      </c>
      <c r="F52" s="23">
        <v>16.3</v>
      </c>
      <c r="G52" s="24">
        <f t="shared" si="15"/>
        <v>1630</v>
      </c>
      <c r="H52" s="40">
        <v>25.37</v>
      </c>
      <c r="I52" s="26">
        <f>[1]Dividend!P13</f>
        <v>1.7149999999999999</v>
      </c>
      <c r="J52" s="22">
        <v>1</v>
      </c>
      <c r="K52" s="24">
        <f t="shared" si="16"/>
        <v>2708.5</v>
      </c>
      <c r="L52" s="27">
        <f t="shared" si="17"/>
        <v>0.66165644171779137</v>
      </c>
      <c r="M52" s="28">
        <f t="shared" si="18"/>
        <v>1078.5</v>
      </c>
      <c r="N52" s="41">
        <v>28.03</v>
      </c>
      <c r="O52" s="30">
        <f t="shared" si="19"/>
        <v>22.30875</v>
      </c>
      <c r="P52" s="31">
        <f t="shared" si="20"/>
        <v>6.0087499999999991</v>
      </c>
    </row>
    <row r="53" spans="1:16" x14ac:dyDescent="0.2">
      <c r="A53" s="20" t="s">
        <v>103</v>
      </c>
      <c r="B53" s="20" t="s">
        <v>104</v>
      </c>
      <c r="C53" s="21">
        <v>44648</v>
      </c>
      <c r="D53" s="20">
        <v>12</v>
      </c>
      <c r="E53" s="22">
        <v>1.0988</v>
      </c>
      <c r="F53" s="23">
        <v>51.5</v>
      </c>
      <c r="G53" s="24">
        <f t="shared" si="15"/>
        <v>562.43174372042233</v>
      </c>
      <c r="H53" s="40">
        <v>50.91</v>
      </c>
      <c r="I53" s="26">
        <f>[1]Dividend!P17</f>
        <v>8</v>
      </c>
      <c r="J53" s="22">
        <f>C159</f>
        <v>1.0670081092616304</v>
      </c>
      <c r="K53" s="24">
        <f>((H53+I53)/J53)*D53</f>
        <v>662.52542399999993</v>
      </c>
      <c r="L53" s="27">
        <f t="shared" si="17"/>
        <v>0.17796591568155315</v>
      </c>
      <c r="M53" s="28">
        <f t="shared" si="18"/>
        <v>100.0936802795776</v>
      </c>
      <c r="N53" s="41">
        <v>54.29</v>
      </c>
      <c r="O53" s="30">
        <f t="shared" si="19"/>
        <v>46.717500000000001</v>
      </c>
      <c r="P53" s="34">
        <f t="shared" si="20"/>
        <v>-4.7824999999999989</v>
      </c>
    </row>
    <row r="54" spans="1:16" x14ac:dyDescent="0.2">
      <c r="A54" s="20" t="s">
        <v>105</v>
      </c>
      <c r="B54" s="20" t="s">
        <v>106</v>
      </c>
      <c r="C54" s="21">
        <v>44651</v>
      </c>
      <c r="D54" s="20">
        <v>150</v>
      </c>
      <c r="E54" s="22">
        <v>1.0618000000000001</v>
      </c>
      <c r="F54" s="29">
        <v>16.25</v>
      </c>
      <c r="G54" s="24">
        <f t="shared" si="15"/>
        <v>2295.6300621585983</v>
      </c>
      <c r="H54" s="40">
        <f>'[1]auto data'!G7</f>
        <v>15.79</v>
      </c>
      <c r="I54" s="26">
        <f>[1]Dividend!P22</f>
        <v>1.05</v>
      </c>
      <c r="J54" s="22">
        <f>C159</f>
        <v>1.0670081092616304</v>
      </c>
      <c r="K54" s="24">
        <f>((H54+I54)/J54)*D54</f>
        <v>2367.3672000000001</v>
      </c>
      <c r="L54" s="27">
        <f t="shared" si="17"/>
        <v>3.1249433009230956E-2</v>
      </c>
      <c r="M54" s="28">
        <f t="shared" si="18"/>
        <v>71.737137841401818</v>
      </c>
      <c r="N54" s="29">
        <v>20.83</v>
      </c>
      <c r="O54" s="30">
        <f t="shared" si="19"/>
        <v>16.41</v>
      </c>
      <c r="P54" s="34">
        <f t="shared" si="20"/>
        <v>0.16000000000000014</v>
      </c>
    </row>
    <row r="55" spans="1:16" x14ac:dyDescent="0.2">
      <c r="A55" s="20" t="s">
        <v>107</v>
      </c>
      <c r="B55" s="20" t="s">
        <v>108</v>
      </c>
      <c r="C55" s="21">
        <v>44678</v>
      </c>
      <c r="D55" s="20">
        <v>30</v>
      </c>
      <c r="E55" s="22">
        <v>1.0464</v>
      </c>
      <c r="F55" s="23">
        <v>66.599999999999994</v>
      </c>
      <c r="G55" s="24">
        <f t="shared" si="15"/>
        <v>1909.4036697247705</v>
      </c>
      <c r="H55" s="40">
        <f>'[1]auto data'!G8</f>
        <v>64.67</v>
      </c>
      <c r="I55" s="26">
        <f>[1]Dividend!P25</f>
        <v>4.915</v>
      </c>
      <c r="J55" s="22">
        <f>C159</f>
        <v>1.0670081092616304</v>
      </c>
      <c r="K55" s="24">
        <f t="shared" si="16"/>
        <v>1956.4518600000001</v>
      </c>
      <c r="L55" s="27">
        <f t="shared" si="17"/>
        <v>2.4640253405405571E-2</v>
      </c>
      <c r="M55" s="28">
        <f t="shared" si="18"/>
        <v>47.048190275229672</v>
      </c>
      <c r="N55" s="41">
        <v>73.19</v>
      </c>
      <c r="O55" s="30">
        <f t="shared" si="19"/>
        <v>58.578749999999999</v>
      </c>
      <c r="P55" s="34">
        <f t="shared" si="20"/>
        <v>-8.0212499999999949</v>
      </c>
    </row>
    <row r="56" spans="1:16" x14ac:dyDescent="0.2">
      <c r="A56" s="20" t="s">
        <v>109</v>
      </c>
      <c r="B56" s="20" t="s">
        <v>110</v>
      </c>
      <c r="C56" s="21">
        <v>44678</v>
      </c>
      <c r="D56" s="20">
        <v>30</v>
      </c>
      <c r="E56" s="22">
        <v>1.0464</v>
      </c>
      <c r="F56" s="23">
        <v>62.12</v>
      </c>
      <c r="G56" s="24">
        <f t="shared" si="15"/>
        <v>1780.9633027522934</v>
      </c>
      <c r="H56" s="40">
        <f>'[1]auto data'!G9</f>
        <v>57.6</v>
      </c>
      <c r="I56" s="26">
        <f>[1]Dividend!P24</f>
        <v>5.2649999999999997</v>
      </c>
      <c r="J56" s="22">
        <f>C159</f>
        <v>1.0670081092616304</v>
      </c>
      <c r="K56" s="24">
        <f t="shared" si="16"/>
        <v>1767.5123400000002</v>
      </c>
      <c r="L56" s="27">
        <f t="shared" si="17"/>
        <v>-7.5526333032837597E-3</v>
      </c>
      <c r="M56" s="28">
        <f t="shared" si="18"/>
        <v>-13.450962752293208</v>
      </c>
      <c r="N56" s="41">
        <v>71.02</v>
      </c>
      <c r="O56" s="30">
        <f t="shared" si="19"/>
        <v>57.213749999999997</v>
      </c>
      <c r="P56" s="34">
        <f t="shared" si="20"/>
        <v>-4.90625</v>
      </c>
    </row>
    <row r="57" spans="1:16" x14ac:dyDescent="0.2">
      <c r="A57" s="20" t="s">
        <v>111</v>
      </c>
      <c r="B57" s="20" t="s">
        <v>112</v>
      </c>
      <c r="C57" s="21">
        <v>44714</v>
      </c>
      <c r="D57" s="20">
        <v>7</v>
      </c>
      <c r="E57" s="22">
        <v>1.0722</v>
      </c>
      <c r="F57" s="23">
        <v>0</v>
      </c>
      <c r="G57" s="24">
        <f t="shared" si="15"/>
        <v>0</v>
      </c>
      <c r="H57" s="40">
        <f>'[1]auto data'!G10</f>
        <v>20.76</v>
      </c>
      <c r="I57" s="26">
        <f>[1]Dividend!P26</f>
        <v>2.4900000000000002</v>
      </c>
      <c r="J57" s="22">
        <f>C159</f>
        <v>1.0670081092616304</v>
      </c>
      <c r="K57" s="24">
        <f t="shared" si="16"/>
        <v>152.52930000000001</v>
      </c>
      <c r="L57" s="38" t="s">
        <v>113</v>
      </c>
      <c r="M57" s="28">
        <f t="shared" si="18"/>
        <v>152.52930000000001</v>
      </c>
      <c r="N57" s="41"/>
      <c r="O57" s="30"/>
      <c r="P57" s="34"/>
    </row>
    <row r="58" spans="1:16" x14ac:dyDescent="0.2">
      <c r="A58" s="20" t="s">
        <v>114</v>
      </c>
      <c r="B58" s="20" t="s">
        <v>115</v>
      </c>
      <c r="C58" s="21">
        <v>44729</v>
      </c>
      <c r="D58" s="20">
        <v>100</v>
      </c>
      <c r="E58" s="22">
        <v>1.3684000000000001</v>
      </c>
      <c r="F58" s="26">
        <v>12.61</v>
      </c>
      <c r="G58" s="24">
        <f t="shared" si="15"/>
        <v>921.51417714118679</v>
      </c>
      <c r="H58" s="40">
        <f>'[1]auto data'!G11</f>
        <v>13.62</v>
      </c>
      <c r="I58" s="26">
        <f>[1]Dividend!P19</f>
        <v>0.78999999999999981</v>
      </c>
      <c r="J58" s="22">
        <f>C160</f>
        <v>1.4652014652014651</v>
      </c>
      <c r="K58" s="24">
        <f t="shared" si="16"/>
        <v>983.48250000000007</v>
      </c>
      <c r="L58" s="27">
        <f>(K58-G58)/G58</f>
        <v>6.7246195876288731E-2</v>
      </c>
      <c r="M58" s="28">
        <f t="shared" si="18"/>
        <v>61.968322858813281</v>
      </c>
      <c r="N58" s="29">
        <v>17.98</v>
      </c>
      <c r="O58" s="30">
        <f>(N58+I58)*0.75</f>
        <v>14.077500000000001</v>
      </c>
      <c r="P58" s="31">
        <f>O58-F58</f>
        <v>1.4675000000000011</v>
      </c>
    </row>
    <row r="59" spans="1:16" x14ac:dyDescent="0.2">
      <c r="A59" s="20" t="s">
        <v>116</v>
      </c>
      <c r="B59" s="20" t="s">
        <v>117</v>
      </c>
      <c r="C59" s="21">
        <v>44733</v>
      </c>
      <c r="D59" s="20">
        <v>25</v>
      </c>
      <c r="E59" s="22">
        <v>1.0536000000000001</v>
      </c>
      <c r="F59" s="26">
        <v>28.905000000000001</v>
      </c>
      <c r="G59" s="24">
        <f t="shared" si="15"/>
        <v>685.86275626423685</v>
      </c>
      <c r="H59" s="40">
        <f>'[1]auto data'!G12</f>
        <v>33.590000000000003</v>
      </c>
      <c r="I59" s="26">
        <f>[1]Dividend!P20</f>
        <v>2.25</v>
      </c>
      <c r="J59" s="22">
        <f>C159</f>
        <v>1.0670081092616304</v>
      </c>
      <c r="K59" s="24">
        <f t="shared" si="16"/>
        <v>839.73120000000017</v>
      </c>
      <c r="L59" s="27">
        <f>(K59-G59)/G59</f>
        <v>0.22434290582252239</v>
      </c>
      <c r="M59" s="28">
        <f t="shared" si="18"/>
        <v>153.86844373576332</v>
      </c>
      <c r="N59" s="29">
        <v>33.93</v>
      </c>
      <c r="O59" s="30">
        <f>(N59+I59)*0.75</f>
        <v>27.134999999999998</v>
      </c>
      <c r="P59" s="34">
        <f>O59-F59</f>
        <v>-1.7700000000000031</v>
      </c>
    </row>
    <row r="60" spans="1:16" x14ac:dyDescent="0.2">
      <c r="A60" s="20" t="s">
        <v>118</v>
      </c>
      <c r="B60" s="20" t="s">
        <v>119</v>
      </c>
      <c r="C60" s="21">
        <v>44844</v>
      </c>
      <c r="D60" s="20">
        <v>35</v>
      </c>
      <c r="E60" s="22">
        <v>0.97170000000000001</v>
      </c>
      <c r="F60" s="26">
        <v>32.229999999999997</v>
      </c>
      <c r="G60" s="24">
        <f t="shared" si="15"/>
        <v>1160.9035710610269</v>
      </c>
      <c r="H60" s="40">
        <f>'[1]auto data'!G13</f>
        <v>27.03</v>
      </c>
      <c r="I60" s="26">
        <f>[1]Dividend!P21</f>
        <v>0.98</v>
      </c>
      <c r="J60" s="22">
        <f>C159</f>
        <v>1.0670081092616304</v>
      </c>
      <c r="K60" s="24">
        <f t="shared" si="16"/>
        <v>918.78402000000006</v>
      </c>
      <c r="L60" s="33">
        <f>(K60-G60)/G60</f>
        <v>-0.20856129406143331</v>
      </c>
      <c r="M60" s="28">
        <f t="shared" si="18"/>
        <v>-242.11955106102687</v>
      </c>
      <c r="N60" s="29">
        <v>33.33</v>
      </c>
      <c r="O60" s="30">
        <f>(N60+I60)*0.75</f>
        <v>25.732499999999995</v>
      </c>
      <c r="P60" s="34">
        <f>O60-F60</f>
        <v>-6.4975000000000023</v>
      </c>
    </row>
    <row r="61" spans="1:16" x14ac:dyDescent="0.2">
      <c r="A61" s="20" t="s">
        <v>120</v>
      </c>
      <c r="B61" s="20" t="s">
        <v>121</v>
      </c>
      <c r="C61" s="42">
        <v>44843</v>
      </c>
      <c r="D61" s="20">
        <v>60</v>
      </c>
      <c r="E61" s="22">
        <v>1</v>
      </c>
      <c r="F61" s="26">
        <v>18.239999999999998</v>
      </c>
      <c r="G61" s="24">
        <f t="shared" si="15"/>
        <v>1094.3999999999999</v>
      </c>
      <c r="H61" s="40">
        <f>'[1]auto data'!G14</f>
        <v>14.31</v>
      </c>
      <c r="I61" s="26">
        <f>[1]Dividend!P23</f>
        <v>0.92500000000000004</v>
      </c>
      <c r="J61" s="22">
        <f>C159</f>
        <v>1.0670081092616304</v>
      </c>
      <c r="K61" s="24">
        <f t="shared" si="16"/>
        <v>856.69452000000001</v>
      </c>
      <c r="L61" s="33">
        <f>(K61-G61)/G61</f>
        <v>-0.217201644736842</v>
      </c>
      <c r="M61" s="28">
        <f t="shared" si="18"/>
        <v>-237.70547999999985</v>
      </c>
      <c r="N61" s="29">
        <v>18.850000000000001</v>
      </c>
      <c r="O61" s="30">
        <f>(N61+I61)*0.75</f>
        <v>14.831250000000001</v>
      </c>
      <c r="P61" s="34">
        <f>O61-F61</f>
        <v>-3.4087499999999977</v>
      </c>
    </row>
    <row r="62" spans="1:16" x14ac:dyDescent="0.2">
      <c r="A62" s="20" t="s">
        <v>122</v>
      </c>
      <c r="B62" s="20" t="s">
        <v>123</v>
      </c>
      <c r="C62" s="42">
        <v>44929</v>
      </c>
      <c r="D62" s="20">
        <v>100</v>
      </c>
      <c r="E62" s="22">
        <v>1.0557000000000001</v>
      </c>
      <c r="F62" s="26">
        <v>9.5500000000000007</v>
      </c>
      <c r="G62" s="24">
        <f t="shared" si="15"/>
        <v>904.61305295064892</v>
      </c>
      <c r="H62" s="40">
        <f>'[1]auto data'!G15</f>
        <v>9.99</v>
      </c>
      <c r="I62" s="26">
        <f>[1]Dividend!P29</f>
        <v>0</v>
      </c>
      <c r="J62" s="22">
        <f>C159</f>
        <v>1.0670081092616304</v>
      </c>
      <c r="K62" s="24">
        <f t="shared" si="16"/>
        <v>936.26280000000008</v>
      </c>
      <c r="L62" s="27">
        <f>(K62-G62)/G62</f>
        <v>3.4987055455497407E-2</v>
      </c>
      <c r="M62" s="28">
        <f t="shared" si="18"/>
        <v>31.649747049351163</v>
      </c>
      <c r="N62" s="29">
        <v>9.5500000000000007</v>
      </c>
      <c r="O62" s="30">
        <f>(N62+I62)*0.75</f>
        <v>7.1625000000000005</v>
      </c>
      <c r="P62" s="34">
        <f>O62-F62</f>
        <v>-2.3875000000000002</v>
      </c>
    </row>
    <row r="63" spans="1:16" x14ac:dyDescent="0.2">
      <c r="A63" s="2" t="s">
        <v>124</v>
      </c>
      <c r="B63" s="3"/>
      <c r="C63" s="3"/>
      <c r="D63" s="3"/>
      <c r="E63" s="3"/>
      <c r="F63" s="4"/>
      <c r="G63" s="43"/>
      <c r="H63" s="44"/>
      <c r="I63" s="44"/>
      <c r="J63" s="44"/>
      <c r="K63" s="45"/>
      <c r="L63" s="8" t="s">
        <v>1</v>
      </c>
      <c r="M63" s="9">
        <f>SUM(K65:K76)</f>
        <v>3088.472413</v>
      </c>
      <c r="N63" s="10"/>
      <c r="O63" s="11"/>
      <c r="P63" s="12">
        <f>M63/P165</f>
        <v>5.6838267205434209E-2</v>
      </c>
    </row>
    <row r="64" spans="1:16" x14ac:dyDescent="0.2">
      <c r="A64" s="13" t="s">
        <v>2</v>
      </c>
      <c r="B64" s="13" t="s">
        <v>3</v>
      </c>
      <c r="C64" s="14" t="s">
        <v>4</v>
      </c>
      <c r="D64" s="13" t="s">
        <v>5</v>
      </c>
      <c r="E64" s="15" t="s">
        <v>6</v>
      </c>
      <c r="F64" s="13" t="s">
        <v>7</v>
      </c>
      <c r="G64" s="13" t="s">
        <v>8</v>
      </c>
      <c r="H64" s="16" t="s">
        <v>9</v>
      </c>
      <c r="I64" s="13" t="s">
        <v>10</v>
      </c>
      <c r="J64" s="15" t="s">
        <v>11</v>
      </c>
      <c r="K64" s="13" t="s">
        <v>12</v>
      </c>
      <c r="L64" s="13" t="s">
        <v>13</v>
      </c>
      <c r="M64" s="17" t="s">
        <v>14</v>
      </c>
      <c r="N64" s="18" t="s">
        <v>15</v>
      </c>
      <c r="O64" s="19" t="s">
        <v>16</v>
      </c>
      <c r="P64" s="17" t="s">
        <v>17</v>
      </c>
    </row>
    <row r="65" spans="1:16" x14ac:dyDescent="0.2">
      <c r="A65" s="35" t="s">
        <v>125</v>
      </c>
      <c r="B65" s="20" t="s">
        <v>126</v>
      </c>
      <c r="C65" s="21">
        <v>44285</v>
      </c>
      <c r="D65" s="20">
        <v>200</v>
      </c>
      <c r="E65" s="22">
        <v>1.46</v>
      </c>
      <c r="F65" s="23">
        <v>3.2850000000000001</v>
      </c>
      <c r="G65" s="24">
        <f t="shared" ref="G65:G78" si="21">(F65*D65)/E65</f>
        <v>450</v>
      </c>
      <c r="H65" s="46">
        <f>'[1]auto data'!P3</f>
        <v>2.79</v>
      </c>
      <c r="I65" s="20">
        <v>0</v>
      </c>
      <c r="J65" s="22">
        <f>C160</f>
        <v>1.4652014652014651</v>
      </c>
      <c r="K65" s="24">
        <f>((H65+I65)/J65)*D65</f>
        <v>380.83500000000004</v>
      </c>
      <c r="L65" s="33">
        <f t="shared" ref="L65:L78" si="22">(K65-G65)/G65</f>
        <v>-0.15369999999999992</v>
      </c>
      <c r="M65" s="28">
        <f t="shared" ref="M65:M78" si="23">K65-G65</f>
        <v>-69.164999999999964</v>
      </c>
      <c r="N65" s="29">
        <v>2</v>
      </c>
      <c r="O65" s="30">
        <f t="shared" ref="O65:O78" si="24">(N65+I65)*0.5</f>
        <v>1</v>
      </c>
      <c r="P65" s="34">
        <f t="shared" ref="P65:P78" si="25">O65-F65</f>
        <v>-2.2850000000000001</v>
      </c>
    </row>
    <row r="66" spans="1:16" x14ac:dyDescent="0.2">
      <c r="A66" s="20" t="s">
        <v>127</v>
      </c>
      <c r="B66" s="20" t="s">
        <v>128</v>
      </c>
      <c r="C66" s="21">
        <v>44459</v>
      </c>
      <c r="D66" s="20">
        <v>400</v>
      </c>
      <c r="E66" s="22">
        <v>1.4643999999999999</v>
      </c>
      <c r="F66" s="23">
        <v>0.82</v>
      </c>
      <c r="G66" s="24">
        <f t="shared" si="21"/>
        <v>223.98251843758538</v>
      </c>
      <c r="H66" s="46">
        <f>'[1]auto data'!P4</f>
        <v>0.69</v>
      </c>
      <c r="I66" s="20">
        <v>0</v>
      </c>
      <c r="J66" s="22">
        <f>C160</f>
        <v>1.4652014652014651</v>
      </c>
      <c r="K66" s="24">
        <f t="shared" ref="K66:K75" si="26">((H66+I66)/J66)*D66</f>
        <v>188.37</v>
      </c>
      <c r="L66" s="47">
        <f t="shared" si="22"/>
        <v>-0.1589968658536586</v>
      </c>
      <c r="M66" s="28">
        <f t="shared" si="23"/>
        <v>-35.612518437585379</v>
      </c>
      <c r="N66" s="29">
        <v>1.1499999999999999</v>
      </c>
      <c r="O66" s="30">
        <f t="shared" si="24"/>
        <v>0.57499999999999996</v>
      </c>
      <c r="P66" s="34">
        <f t="shared" si="25"/>
        <v>-0.245</v>
      </c>
    </row>
    <row r="67" spans="1:16" x14ac:dyDescent="0.2">
      <c r="A67" s="20" t="s">
        <v>129</v>
      </c>
      <c r="B67" s="20" t="s">
        <v>130</v>
      </c>
      <c r="C67" s="21">
        <v>44469</v>
      </c>
      <c r="D67" s="20">
        <v>500</v>
      </c>
      <c r="E67" s="22">
        <v>1.5638000000000001</v>
      </c>
      <c r="F67" s="23">
        <v>0.83</v>
      </c>
      <c r="G67" s="24">
        <f t="shared" si="21"/>
        <v>265.37920450185442</v>
      </c>
      <c r="H67" s="46">
        <f>'[1]auto data'!P5</f>
        <v>0.56499999999999995</v>
      </c>
      <c r="I67" s="20">
        <v>0</v>
      </c>
      <c r="J67" s="22">
        <f>C161</f>
        <v>1.5936254980079683</v>
      </c>
      <c r="K67" s="24">
        <f t="shared" si="26"/>
        <v>177.26874999999998</v>
      </c>
      <c r="L67" s="33">
        <f t="shared" si="22"/>
        <v>-0.33201717771084333</v>
      </c>
      <c r="M67" s="28">
        <f t="shared" si="23"/>
        <v>-88.110454501854434</v>
      </c>
      <c r="N67" s="29">
        <v>1.1399999999999999</v>
      </c>
      <c r="O67" s="30">
        <f t="shared" si="24"/>
        <v>0.56999999999999995</v>
      </c>
      <c r="P67" s="34">
        <f t="shared" si="25"/>
        <v>-0.26</v>
      </c>
    </row>
    <row r="68" spans="1:16" x14ac:dyDescent="0.2">
      <c r="A68" s="20" t="s">
        <v>131</v>
      </c>
      <c r="B68" s="20" t="s">
        <v>132</v>
      </c>
      <c r="C68" s="21">
        <v>44481</v>
      </c>
      <c r="D68" s="20">
        <v>358</v>
      </c>
      <c r="E68" s="22">
        <v>1.397</v>
      </c>
      <c r="F68" s="23">
        <v>2.3450000000000002</v>
      </c>
      <c r="G68" s="24">
        <f t="shared" si="21"/>
        <v>600.93772369362932</v>
      </c>
      <c r="H68" s="46">
        <f>'[1]auto data'!P6</f>
        <v>1.2</v>
      </c>
      <c r="I68" s="20">
        <v>0</v>
      </c>
      <c r="J68" s="22">
        <f>C160</f>
        <v>1.4652014652014651</v>
      </c>
      <c r="K68" s="24">
        <f t="shared" si="26"/>
        <v>293.202</v>
      </c>
      <c r="L68" s="33">
        <f t="shared" si="22"/>
        <v>-0.51209253731343296</v>
      </c>
      <c r="M68" s="28">
        <f t="shared" si="23"/>
        <v>-307.73572369362932</v>
      </c>
      <c r="N68" s="29">
        <v>2.85</v>
      </c>
      <c r="O68" s="30">
        <f t="shared" si="24"/>
        <v>1.425</v>
      </c>
      <c r="P68" s="34">
        <f t="shared" si="25"/>
        <v>-0.92000000000000015</v>
      </c>
    </row>
    <row r="69" spans="1:16" x14ac:dyDescent="0.2">
      <c r="A69" s="20" t="s">
        <v>133</v>
      </c>
      <c r="B69" s="20" t="s">
        <v>134</v>
      </c>
      <c r="C69" s="21">
        <v>44627</v>
      </c>
      <c r="D69" s="20">
        <v>42</v>
      </c>
      <c r="E69" s="22">
        <v>1.4056999999999999</v>
      </c>
      <c r="F69" s="23">
        <v>0.8</v>
      </c>
      <c r="G69" s="24">
        <f t="shared" si="21"/>
        <v>23.902681937824575</v>
      </c>
      <c r="H69" s="46">
        <f>'[1]auto data'!P7</f>
        <v>0.30499999999999999</v>
      </c>
      <c r="I69" s="20">
        <v>0</v>
      </c>
      <c r="J69" s="22">
        <f>C160</f>
        <v>1.4652014652014651</v>
      </c>
      <c r="K69" s="24">
        <f>((H69+I69)/J69)*D69</f>
        <v>8.7428249999999998</v>
      </c>
      <c r="L69" s="33">
        <f t="shared" si="22"/>
        <v>-0.63423246718750004</v>
      </c>
      <c r="M69" s="28">
        <f t="shared" si="23"/>
        <v>-15.159856937824575</v>
      </c>
      <c r="N69" s="29">
        <v>1.1499999999999999</v>
      </c>
      <c r="O69" s="30">
        <f t="shared" si="24"/>
        <v>0.57499999999999996</v>
      </c>
      <c r="P69" s="34">
        <f t="shared" si="25"/>
        <v>-0.22500000000000009</v>
      </c>
    </row>
    <row r="70" spans="1:16" x14ac:dyDescent="0.2">
      <c r="A70" s="20" t="s">
        <v>135</v>
      </c>
      <c r="B70" s="20" t="s">
        <v>136</v>
      </c>
      <c r="C70" s="21">
        <v>44488</v>
      </c>
      <c r="D70" s="20">
        <v>1000</v>
      </c>
      <c r="E70" s="22">
        <v>1.4415</v>
      </c>
      <c r="F70" s="23">
        <v>0.315</v>
      </c>
      <c r="G70" s="24">
        <f t="shared" si="21"/>
        <v>218.52237252861602</v>
      </c>
      <c r="H70" s="46">
        <f>'[1]auto data'!P8</f>
        <v>0.1875</v>
      </c>
      <c r="I70" s="20">
        <v>0</v>
      </c>
      <c r="J70" s="22">
        <f>C160</f>
        <v>1.4652014652014651</v>
      </c>
      <c r="K70" s="24">
        <f t="shared" si="26"/>
        <v>127.96875000000001</v>
      </c>
      <c r="L70" s="33">
        <f t="shared" si="22"/>
        <v>-0.4143906249999999</v>
      </c>
      <c r="M70" s="28">
        <f t="shared" si="23"/>
        <v>-90.553622528616003</v>
      </c>
      <c r="N70" s="29">
        <v>0.41</v>
      </c>
      <c r="O70" s="30">
        <f t="shared" si="24"/>
        <v>0.20499999999999999</v>
      </c>
      <c r="P70" s="34">
        <f t="shared" si="25"/>
        <v>-0.11000000000000001</v>
      </c>
    </row>
    <row r="71" spans="1:16" x14ac:dyDescent="0.2">
      <c r="A71" s="35" t="s">
        <v>137</v>
      </c>
      <c r="B71" s="20" t="s">
        <v>138</v>
      </c>
      <c r="C71" s="21">
        <v>44488</v>
      </c>
      <c r="D71" s="20">
        <v>400</v>
      </c>
      <c r="E71" s="22">
        <v>1.052</v>
      </c>
      <c r="F71" s="23">
        <v>1.0649999999999999</v>
      </c>
      <c r="G71" s="24">
        <f t="shared" si="21"/>
        <v>404.94296577946767</v>
      </c>
      <c r="H71" s="46">
        <f>'[1]auto data'!P9</f>
        <v>0.66759999999999997</v>
      </c>
      <c r="I71" s="20">
        <v>0</v>
      </c>
      <c r="J71" s="22">
        <f>C159</f>
        <v>1.0670081092616304</v>
      </c>
      <c r="K71" s="24">
        <f t="shared" si="26"/>
        <v>250.26988800000001</v>
      </c>
      <c r="L71" s="33">
        <f t="shared" si="22"/>
        <v>-0.38196262399999997</v>
      </c>
      <c r="M71" s="28">
        <f t="shared" si="23"/>
        <v>-154.67307777946766</v>
      </c>
      <c r="N71" s="29">
        <v>2.91</v>
      </c>
      <c r="O71" s="30">
        <f t="shared" si="24"/>
        <v>1.4550000000000001</v>
      </c>
      <c r="P71" s="34">
        <f t="shared" si="25"/>
        <v>0.39000000000000012</v>
      </c>
    </row>
    <row r="72" spans="1:16" x14ac:dyDescent="0.2">
      <c r="A72" s="35" t="s">
        <v>139</v>
      </c>
      <c r="B72" s="20" t="s">
        <v>140</v>
      </c>
      <c r="C72" s="21">
        <v>44522</v>
      </c>
      <c r="D72" s="20">
        <v>1600</v>
      </c>
      <c r="E72" s="22">
        <v>1.3895</v>
      </c>
      <c r="F72" s="23">
        <v>0.34499999999999997</v>
      </c>
      <c r="G72" s="24">
        <f t="shared" si="21"/>
        <v>397.26520331054337</v>
      </c>
      <c r="H72" s="46">
        <f>'[1]auto data'!P10</f>
        <v>0.155</v>
      </c>
      <c r="I72" s="20">
        <v>0</v>
      </c>
      <c r="J72" s="22">
        <f>C160</f>
        <v>1.4652014652014651</v>
      </c>
      <c r="K72" s="24">
        <f t="shared" si="26"/>
        <v>169.26000000000002</v>
      </c>
      <c r="L72" s="33">
        <f t="shared" si="22"/>
        <v>-0.57393701086956517</v>
      </c>
      <c r="M72" s="28">
        <f t="shared" si="23"/>
        <v>-228.00520331054335</v>
      </c>
      <c r="N72" s="29">
        <v>0.5</v>
      </c>
      <c r="O72" s="30">
        <f t="shared" si="24"/>
        <v>0.25</v>
      </c>
      <c r="P72" s="34">
        <f t="shared" si="25"/>
        <v>-9.4999999999999973E-2</v>
      </c>
    </row>
    <row r="73" spans="1:16" x14ac:dyDescent="0.2">
      <c r="A73" s="35" t="s">
        <v>141</v>
      </c>
      <c r="B73" s="20" t="s">
        <v>142</v>
      </c>
      <c r="C73" s="21">
        <v>44522</v>
      </c>
      <c r="D73" s="20">
        <v>800</v>
      </c>
      <c r="E73" s="22">
        <v>1.393</v>
      </c>
      <c r="F73" s="23">
        <v>0.51249999999999996</v>
      </c>
      <c r="G73" s="24">
        <f t="shared" si="21"/>
        <v>294.32878679109831</v>
      </c>
      <c r="H73" s="46">
        <f>'[1]auto data'!P11</f>
        <v>0.39500000000000002</v>
      </c>
      <c r="I73" s="20">
        <v>0</v>
      </c>
      <c r="J73" s="22">
        <f>C160</f>
        <v>1.4652014652014651</v>
      </c>
      <c r="K73" s="24">
        <f t="shared" si="26"/>
        <v>215.67000000000002</v>
      </c>
      <c r="L73" s="33">
        <f t="shared" si="22"/>
        <v>-0.26724802439024375</v>
      </c>
      <c r="M73" s="28">
        <f t="shared" si="23"/>
        <v>-78.658786791098294</v>
      </c>
      <c r="N73" s="29">
        <v>0.87</v>
      </c>
      <c r="O73" s="30">
        <f t="shared" si="24"/>
        <v>0.435</v>
      </c>
      <c r="P73" s="34">
        <f t="shared" si="25"/>
        <v>-7.7499999999999958E-2</v>
      </c>
    </row>
    <row r="74" spans="1:16" x14ac:dyDescent="0.2">
      <c r="A74" s="32" t="s">
        <v>143</v>
      </c>
      <c r="B74" s="20" t="s">
        <v>144</v>
      </c>
      <c r="C74" s="21">
        <v>44672</v>
      </c>
      <c r="D74" s="20">
        <v>100</v>
      </c>
      <c r="E74" s="22">
        <v>1.0837000000000001</v>
      </c>
      <c r="F74" s="23">
        <v>8.67</v>
      </c>
      <c r="G74" s="24">
        <f t="shared" si="21"/>
        <v>800.03691058410993</v>
      </c>
      <c r="H74" s="46">
        <f>'[1]auto data'!P12</f>
        <v>5.41</v>
      </c>
      <c r="I74" s="20">
        <v>0</v>
      </c>
      <c r="J74" s="22">
        <f>C159</f>
        <v>1.0670081092616304</v>
      </c>
      <c r="K74" s="24">
        <f t="shared" si="26"/>
        <v>507.02519999999998</v>
      </c>
      <c r="L74" s="33">
        <f t="shared" si="22"/>
        <v>-0.36624774020761242</v>
      </c>
      <c r="M74" s="28">
        <f t="shared" si="23"/>
        <v>-293.01171058410995</v>
      </c>
      <c r="N74" s="29">
        <v>8.67</v>
      </c>
      <c r="O74" s="30">
        <f t="shared" si="24"/>
        <v>4.335</v>
      </c>
      <c r="P74" s="34">
        <f t="shared" si="25"/>
        <v>-4.335</v>
      </c>
    </row>
    <row r="75" spans="1:16" x14ac:dyDescent="0.2">
      <c r="A75" s="32" t="s">
        <v>145</v>
      </c>
      <c r="B75" s="20" t="s">
        <v>146</v>
      </c>
      <c r="C75" s="21">
        <v>44672</v>
      </c>
      <c r="D75" s="20">
        <v>200</v>
      </c>
      <c r="E75" s="22">
        <v>1.4015</v>
      </c>
      <c r="F75" s="23">
        <v>4.03</v>
      </c>
      <c r="G75" s="24">
        <f t="shared" si="21"/>
        <v>575.09810916874778</v>
      </c>
      <c r="H75" s="46">
        <f>'[1]auto data'!P13</f>
        <v>2.89</v>
      </c>
      <c r="I75" s="20">
        <v>0</v>
      </c>
      <c r="J75" s="22">
        <f>C160</f>
        <v>1.4652014652014651</v>
      </c>
      <c r="K75" s="24">
        <f t="shared" si="26"/>
        <v>394.48500000000007</v>
      </c>
      <c r="L75" s="33">
        <f t="shared" si="22"/>
        <v>-0.3140561693548386</v>
      </c>
      <c r="M75" s="28">
        <f t="shared" si="23"/>
        <v>-180.61310916874771</v>
      </c>
      <c r="N75" s="29">
        <v>4.58</v>
      </c>
      <c r="O75" s="30">
        <f t="shared" si="24"/>
        <v>2.29</v>
      </c>
      <c r="P75" s="34">
        <f t="shared" si="25"/>
        <v>-1.7400000000000002</v>
      </c>
    </row>
    <row r="76" spans="1:16" x14ac:dyDescent="0.2">
      <c r="A76" s="32" t="s">
        <v>147</v>
      </c>
      <c r="B76" s="20" t="s">
        <v>148</v>
      </c>
      <c r="C76" s="21">
        <v>44972</v>
      </c>
      <c r="D76" s="20">
        <v>200</v>
      </c>
      <c r="E76" s="22">
        <v>1.4331</v>
      </c>
      <c r="F76" s="23">
        <v>3.07</v>
      </c>
      <c r="G76" s="24">
        <f t="shared" si="21"/>
        <v>428.44183936919961</v>
      </c>
      <c r="H76" s="46">
        <f>'[1]auto data'!V17</f>
        <v>2.75</v>
      </c>
      <c r="I76" s="20">
        <v>0</v>
      </c>
      <c r="J76" s="22">
        <f>C160</f>
        <v>1.4652014652014651</v>
      </c>
      <c r="K76" s="24">
        <f>((H76+I76)/J76)*D76</f>
        <v>375.375</v>
      </c>
      <c r="L76" s="33">
        <f t="shared" si="22"/>
        <v>-0.12386007736156347</v>
      </c>
      <c r="M76" s="28">
        <f t="shared" si="23"/>
        <v>-53.066839369199613</v>
      </c>
      <c r="N76" s="29">
        <v>3.07</v>
      </c>
      <c r="O76" s="30">
        <f t="shared" si="24"/>
        <v>1.5349999999999999</v>
      </c>
      <c r="P76" s="34">
        <f t="shared" si="25"/>
        <v>-1.5349999999999999</v>
      </c>
    </row>
    <row r="77" spans="1:16" x14ac:dyDescent="0.2">
      <c r="A77" s="32" t="s">
        <v>149</v>
      </c>
      <c r="B77" s="20" t="s">
        <v>150</v>
      </c>
      <c r="C77" s="21">
        <v>45001</v>
      </c>
      <c r="D77" s="20">
        <v>2000</v>
      </c>
      <c r="E77" s="22">
        <v>1.5952</v>
      </c>
      <c r="F77" s="23">
        <v>0.12</v>
      </c>
      <c r="G77" s="24">
        <f t="shared" si="21"/>
        <v>150.45135406218657</v>
      </c>
      <c r="H77" s="46">
        <f>'[1]auto data'!V13</f>
        <v>0.125</v>
      </c>
      <c r="I77" s="20">
        <v>0</v>
      </c>
      <c r="J77" s="22">
        <f>C161</f>
        <v>1.5936254980079683</v>
      </c>
      <c r="K77" s="24">
        <f>((H77+I77)/J77)*D77</f>
        <v>156.875</v>
      </c>
      <c r="L77" s="27">
        <f t="shared" si="22"/>
        <v>4.269583333333328E-2</v>
      </c>
      <c r="M77" s="28">
        <f t="shared" si="23"/>
        <v>6.4236459378134327</v>
      </c>
      <c r="N77" s="29">
        <v>0.12</v>
      </c>
      <c r="O77" s="30">
        <f t="shared" si="24"/>
        <v>0.06</v>
      </c>
      <c r="P77" s="34">
        <f t="shared" si="25"/>
        <v>-0.06</v>
      </c>
    </row>
    <row r="78" spans="1:16" x14ac:dyDescent="0.2">
      <c r="A78" s="32" t="s">
        <v>151</v>
      </c>
      <c r="B78" s="20" t="s">
        <v>152</v>
      </c>
      <c r="C78" s="21">
        <v>45002</v>
      </c>
      <c r="D78" s="20">
        <v>200</v>
      </c>
      <c r="E78" s="22">
        <v>1.5935999999999999</v>
      </c>
      <c r="F78" s="23">
        <v>1.31</v>
      </c>
      <c r="G78" s="24">
        <f t="shared" si="21"/>
        <v>164.40763052208837</v>
      </c>
      <c r="H78" s="46">
        <f>'[1]auto data'!V14</f>
        <v>1.355</v>
      </c>
      <c r="I78" s="20">
        <v>0</v>
      </c>
      <c r="J78" s="22">
        <f>C161</f>
        <v>1.5936254980079683</v>
      </c>
      <c r="K78" s="24">
        <f>((H78+I78)/J78)*D78</f>
        <v>170.05249999999998</v>
      </c>
      <c r="L78" s="27">
        <f t="shared" si="22"/>
        <v>3.4334595419847118E-2</v>
      </c>
      <c r="M78" s="28">
        <f t="shared" si="23"/>
        <v>5.6448694779116124</v>
      </c>
      <c r="N78" s="29">
        <v>1.31</v>
      </c>
      <c r="O78" s="30">
        <f t="shared" si="24"/>
        <v>0.65500000000000003</v>
      </c>
      <c r="P78" s="34">
        <f t="shared" si="25"/>
        <v>-0.65500000000000003</v>
      </c>
    </row>
    <row r="79" spans="1:16" x14ac:dyDescent="0.2">
      <c r="A79" s="2" t="s">
        <v>153</v>
      </c>
      <c r="B79" s="3"/>
      <c r="C79" s="3"/>
      <c r="D79" s="3"/>
      <c r="E79" s="3"/>
      <c r="F79" s="4"/>
      <c r="G79" s="5"/>
      <c r="H79" s="6"/>
      <c r="I79" s="6"/>
      <c r="J79" s="6"/>
      <c r="K79" s="7"/>
      <c r="L79" s="8" t="s">
        <v>1</v>
      </c>
      <c r="M79" s="9">
        <f>SUM(K81:K87)</f>
        <v>3087.4094119874226</v>
      </c>
      <c r="N79" s="10"/>
      <c r="O79" s="11"/>
      <c r="P79" s="12">
        <f>M79/P165</f>
        <v>5.681870441596644E-2</v>
      </c>
    </row>
    <row r="80" spans="1:16" x14ac:dyDescent="0.2">
      <c r="A80" s="13" t="s">
        <v>2</v>
      </c>
      <c r="B80" s="13" t="s">
        <v>3</v>
      </c>
      <c r="C80" s="14" t="s">
        <v>4</v>
      </c>
      <c r="D80" s="13" t="s">
        <v>5</v>
      </c>
      <c r="E80" s="15" t="s">
        <v>6</v>
      </c>
      <c r="F80" s="13" t="s">
        <v>7</v>
      </c>
      <c r="G80" s="13" t="s">
        <v>8</v>
      </c>
      <c r="H80" s="16" t="s">
        <v>9</v>
      </c>
      <c r="I80" s="13" t="s">
        <v>10</v>
      </c>
      <c r="J80" s="15" t="s">
        <v>11</v>
      </c>
      <c r="K80" s="13" t="s">
        <v>12</v>
      </c>
      <c r="L80" s="13" t="s">
        <v>13</v>
      </c>
      <c r="M80" s="17" t="s">
        <v>14</v>
      </c>
      <c r="N80" s="18" t="s">
        <v>15</v>
      </c>
      <c r="O80" s="19" t="s">
        <v>16</v>
      </c>
      <c r="P80" s="17" t="s">
        <v>17</v>
      </c>
    </row>
    <row r="81" spans="1:16" x14ac:dyDescent="0.2">
      <c r="A81" s="35" t="s">
        <v>154</v>
      </c>
      <c r="B81" s="20" t="s">
        <v>155</v>
      </c>
      <c r="C81" s="21">
        <v>44187</v>
      </c>
      <c r="D81" s="20">
        <v>1000</v>
      </c>
      <c r="E81" s="22">
        <v>1.407</v>
      </c>
      <c r="F81" s="26">
        <v>2.19</v>
      </c>
      <c r="G81" s="24">
        <f t="shared" ref="G81:G87" si="27">(F81*D81)/E81</f>
        <v>1556.503198294243</v>
      </c>
      <c r="H81" s="48">
        <f>'[1]auto data'!S3</f>
        <v>1.44</v>
      </c>
      <c r="I81" s="20">
        <v>0</v>
      </c>
      <c r="J81" s="22">
        <f>C160</f>
        <v>1.4652014652014651</v>
      </c>
      <c r="K81" s="24">
        <f t="shared" ref="K81:K87" si="28">((H81+I81)/J81)*D81</f>
        <v>982.8</v>
      </c>
      <c r="L81" s="33">
        <f t="shared" ref="L81:L87" si="29">(K81-G81)/G81</f>
        <v>-0.36858465753424657</v>
      </c>
      <c r="M81" s="28">
        <f t="shared" ref="M81:M87" si="30">K81-G81</f>
        <v>-573.70319829424307</v>
      </c>
      <c r="N81" s="29">
        <v>2.54</v>
      </c>
      <c r="O81" s="30">
        <f>(N81+I81)*0.5</f>
        <v>1.27</v>
      </c>
      <c r="P81" s="34">
        <f t="shared" ref="P81:P87" si="31">O81-F81</f>
        <v>-0.91999999999999993</v>
      </c>
    </row>
    <row r="82" spans="1:16" x14ac:dyDescent="0.2">
      <c r="A82" s="20" t="s">
        <v>156</v>
      </c>
      <c r="B82" s="20" t="s">
        <v>157</v>
      </c>
      <c r="C82" s="21">
        <v>44246</v>
      </c>
      <c r="D82" s="20">
        <v>1000</v>
      </c>
      <c r="E82" s="22">
        <v>1.54</v>
      </c>
      <c r="F82" s="26">
        <v>0.34</v>
      </c>
      <c r="G82" s="24">
        <f t="shared" si="27"/>
        <v>220.77922077922076</v>
      </c>
      <c r="H82" s="48">
        <f>'[1]auto data'!S4</f>
        <v>0.32</v>
      </c>
      <c r="I82" s="20">
        <v>0</v>
      </c>
      <c r="J82" s="22">
        <f>C160</f>
        <v>1.4652014652014651</v>
      </c>
      <c r="K82" s="24">
        <f t="shared" si="28"/>
        <v>218.4</v>
      </c>
      <c r="L82" s="33">
        <f t="shared" si="29"/>
        <v>-1.0776470588235203E-2</v>
      </c>
      <c r="M82" s="28">
        <f t="shared" si="30"/>
        <v>-2.3792207792207591</v>
      </c>
      <c r="N82" s="29">
        <v>0.4</v>
      </c>
      <c r="O82" s="30">
        <f t="shared" ref="O82:O87" si="32">(N82+I82)*0.33</f>
        <v>0.13200000000000001</v>
      </c>
      <c r="P82" s="34">
        <f t="shared" si="31"/>
        <v>-0.20800000000000002</v>
      </c>
    </row>
    <row r="83" spans="1:16" x14ac:dyDescent="0.2">
      <c r="A83" s="20" t="s">
        <v>158</v>
      </c>
      <c r="B83" s="20" t="s">
        <v>159</v>
      </c>
      <c r="C83" s="21">
        <v>44552</v>
      </c>
      <c r="D83" s="20">
        <v>2000</v>
      </c>
      <c r="E83" s="22">
        <v>1.4006000000000001</v>
      </c>
      <c r="F83" s="26">
        <v>0.15375</v>
      </c>
      <c r="G83" s="24">
        <f t="shared" si="27"/>
        <v>219.54876481507924</v>
      </c>
      <c r="H83" s="48">
        <f>'[1]auto data'!S5</f>
        <v>0.185</v>
      </c>
      <c r="I83" s="20">
        <v>0</v>
      </c>
      <c r="J83" s="22">
        <v>1.4311</v>
      </c>
      <c r="K83" s="24">
        <f t="shared" si="28"/>
        <v>258.54237998742224</v>
      </c>
      <c r="L83" s="27">
        <f t="shared" si="29"/>
        <v>0.17760799157848328</v>
      </c>
      <c r="M83" s="28">
        <f t="shared" si="30"/>
        <v>38.993615172342999</v>
      </c>
      <c r="N83" s="29">
        <v>0.2</v>
      </c>
      <c r="O83" s="30">
        <f t="shared" si="32"/>
        <v>6.6000000000000003E-2</v>
      </c>
      <c r="P83" s="34">
        <f t="shared" si="31"/>
        <v>-8.7749999999999995E-2</v>
      </c>
    </row>
    <row r="84" spans="1:16" x14ac:dyDescent="0.2">
      <c r="A84" s="20" t="s">
        <v>160</v>
      </c>
      <c r="B84" s="20" t="s">
        <v>161</v>
      </c>
      <c r="C84" s="21">
        <v>44552</v>
      </c>
      <c r="D84" s="20">
        <v>100</v>
      </c>
      <c r="E84" s="22">
        <v>0.8488</v>
      </c>
      <c r="F84" s="26">
        <v>3.89</v>
      </c>
      <c r="G84" s="24">
        <f t="shared" si="27"/>
        <v>458.29406220546656</v>
      </c>
      <c r="H84" s="48">
        <f>'[1]auto data'!S6/100</f>
        <v>3.25</v>
      </c>
      <c r="I84" s="26">
        <f>[1]Dividend!P27/100</f>
        <v>0.03</v>
      </c>
      <c r="J84" s="22">
        <f>C162</f>
        <v>0.87642418930762489</v>
      </c>
      <c r="K84" s="24">
        <f t="shared" si="28"/>
        <v>374.24799999999993</v>
      </c>
      <c r="L84" s="33">
        <f t="shared" si="29"/>
        <v>-0.18338893984575852</v>
      </c>
      <c r="M84" s="28">
        <f t="shared" si="30"/>
        <v>-84.046062205466626</v>
      </c>
      <c r="N84" s="49">
        <v>408</v>
      </c>
      <c r="O84" s="50">
        <f t="shared" si="32"/>
        <v>134.6499</v>
      </c>
      <c r="P84" s="34">
        <f t="shared" si="31"/>
        <v>130.75990000000002</v>
      </c>
    </row>
    <row r="85" spans="1:16" x14ac:dyDescent="0.2">
      <c r="A85" s="35" t="s">
        <v>162</v>
      </c>
      <c r="B85" s="20" t="s">
        <v>163</v>
      </c>
      <c r="C85" s="21">
        <v>44559</v>
      </c>
      <c r="D85" s="20">
        <v>400</v>
      </c>
      <c r="E85" s="22">
        <v>1.1322000000000001</v>
      </c>
      <c r="F85" s="26">
        <v>1.36</v>
      </c>
      <c r="G85" s="24">
        <f t="shared" si="27"/>
        <v>480.48048048048042</v>
      </c>
      <c r="H85" s="48">
        <f>'[1]auto data'!S7</f>
        <v>0.52890000000000004</v>
      </c>
      <c r="I85" s="20">
        <v>0</v>
      </c>
      <c r="J85" s="22">
        <f>C159</f>
        <v>1.0670081092616304</v>
      </c>
      <c r="K85" s="24">
        <f t="shared" si="28"/>
        <v>198.27403200000003</v>
      </c>
      <c r="L85" s="33">
        <f t="shared" si="29"/>
        <v>-0.58734217089999985</v>
      </c>
      <c r="M85" s="28">
        <f t="shared" si="30"/>
        <v>-282.20644848048039</v>
      </c>
      <c r="N85" s="29">
        <v>1.73</v>
      </c>
      <c r="O85" s="30">
        <f t="shared" si="32"/>
        <v>0.57090000000000007</v>
      </c>
      <c r="P85" s="34">
        <f t="shared" si="31"/>
        <v>-0.78910000000000002</v>
      </c>
    </row>
    <row r="86" spans="1:16" x14ac:dyDescent="0.2">
      <c r="A86" s="20" t="s">
        <v>164</v>
      </c>
      <c r="B86" s="20" t="s">
        <v>165</v>
      </c>
      <c r="C86" s="21">
        <v>44722</v>
      </c>
      <c r="D86" s="20">
        <v>50</v>
      </c>
      <c r="E86" s="22">
        <v>1.3461000000000001</v>
      </c>
      <c r="F86" s="26">
        <v>19.48</v>
      </c>
      <c r="G86" s="24">
        <f t="shared" si="27"/>
        <v>723.57180001485767</v>
      </c>
      <c r="H86" s="48">
        <f>'[1]auto data'!S8</f>
        <v>22.68</v>
      </c>
      <c r="I86" s="26">
        <f>[1]Dividend!P12</f>
        <v>0.24</v>
      </c>
      <c r="J86" s="22">
        <f>C160</f>
        <v>1.4652014652014651</v>
      </c>
      <c r="K86" s="24">
        <f t="shared" si="28"/>
        <v>782.14499999999998</v>
      </c>
      <c r="L86" s="27">
        <f t="shared" si="29"/>
        <v>8.0950086755646883E-2</v>
      </c>
      <c r="M86" s="28">
        <f t="shared" si="30"/>
        <v>58.57319998514231</v>
      </c>
      <c r="N86" s="29">
        <v>2.73</v>
      </c>
      <c r="O86" s="30">
        <f t="shared" si="32"/>
        <v>0.98009999999999997</v>
      </c>
      <c r="P86" s="34">
        <f t="shared" si="31"/>
        <v>-18.4999</v>
      </c>
    </row>
    <row r="87" spans="1:16" x14ac:dyDescent="0.2">
      <c r="A87" s="35" t="s">
        <v>166</v>
      </c>
      <c r="B87" s="20" t="s">
        <v>167</v>
      </c>
      <c r="C87" s="21">
        <v>44771</v>
      </c>
      <c r="D87" s="20">
        <v>2000</v>
      </c>
      <c r="E87" s="22">
        <v>1.3929</v>
      </c>
      <c r="F87" s="26">
        <v>0.215</v>
      </c>
      <c r="G87" s="24">
        <f t="shared" si="27"/>
        <v>308.70844999641037</v>
      </c>
      <c r="H87" s="48">
        <f>'[1]auto data'!S9</f>
        <v>0.2</v>
      </c>
      <c r="I87" s="20">
        <v>0</v>
      </c>
      <c r="J87" s="22">
        <f>C160</f>
        <v>1.4652014652014651</v>
      </c>
      <c r="K87" s="24">
        <f t="shared" si="28"/>
        <v>273</v>
      </c>
      <c r="L87" s="33">
        <f t="shared" si="29"/>
        <v>-0.11567046511627907</v>
      </c>
      <c r="M87" s="28">
        <f t="shared" si="30"/>
        <v>-35.708449996410366</v>
      </c>
      <c r="N87" s="29">
        <v>0.24</v>
      </c>
      <c r="O87" s="30">
        <f t="shared" si="32"/>
        <v>7.9200000000000007E-2</v>
      </c>
      <c r="P87" s="34">
        <f t="shared" si="31"/>
        <v>-0.13579999999999998</v>
      </c>
    </row>
    <row r="88" spans="1:16" x14ac:dyDescent="0.2">
      <c r="A88" s="2" t="s">
        <v>168</v>
      </c>
      <c r="B88" s="3"/>
      <c r="C88" s="3"/>
      <c r="D88" s="3"/>
      <c r="E88" s="3"/>
      <c r="F88" s="4"/>
      <c r="G88" s="51"/>
      <c r="H88" s="52"/>
      <c r="I88" s="52"/>
      <c r="J88" s="52"/>
      <c r="K88" s="53"/>
      <c r="L88" s="8" t="s">
        <v>1</v>
      </c>
      <c r="M88" s="9">
        <f>SUM(K90:K91)</f>
        <v>1009.7971643999999</v>
      </c>
      <c r="N88" s="10"/>
      <c r="O88" s="11"/>
      <c r="P88" s="12">
        <f>M88/E168</f>
        <v>1.038263722005859E-2</v>
      </c>
    </row>
    <row r="89" spans="1:16" x14ac:dyDescent="0.2">
      <c r="A89" s="13" t="s">
        <v>2</v>
      </c>
      <c r="B89" s="13" t="s">
        <v>3</v>
      </c>
      <c r="C89" s="14" t="s">
        <v>4</v>
      </c>
      <c r="D89" s="13" t="s">
        <v>5</v>
      </c>
      <c r="E89" s="15" t="s">
        <v>6</v>
      </c>
      <c r="F89" s="13" t="s">
        <v>7</v>
      </c>
      <c r="G89" s="13" t="s">
        <v>8</v>
      </c>
      <c r="H89" s="16" t="s">
        <v>9</v>
      </c>
      <c r="I89" s="13" t="s">
        <v>10</v>
      </c>
      <c r="J89" s="15" t="s">
        <v>11</v>
      </c>
      <c r="K89" s="13" t="s">
        <v>12</v>
      </c>
      <c r="L89" s="13" t="s">
        <v>13</v>
      </c>
      <c r="M89" s="17" t="s">
        <v>14</v>
      </c>
      <c r="N89" s="18"/>
      <c r="O89" s="19"/>
      <c r="P89" s="17"/>
    </row>
    <row r="90" spans="1:16" x14ac:dyDescent="0.2">
      <c r="A90" s="20" t="s">
        <v>169</v>
      </c>
      <c r="B90" s="20" t="s">
        <v>170</v>
      </c>
      <c r="C90" s="21">
        <v>44670</v>
      </c>
      <c r="D90" s="20">
        <v>9500</v>
      </c>
      <c r="E90" s="22">
        <v>1</v>
      </c>
      <c r="F90" s="26">
        <v>0.38</v>
      </c>
      <c r="G90" s="24">
        <f>((F90*D90)/E90)-110</f>
        <v>3500</v>
      </c>
      <c r="H90" s="54">
        <v>6.4729999999999996E-2</v>
      </c>
      <c r="I90" s="55">
        <f>107.78+41.35*30</f>
        <v>1348.28</v>
      </c>
      <c r="J90" s="22">
        <v>1</v>
      </c>
      <c r="K90" s="24">
        <f>((H90)/J90)*(D90+I90)</f>
        <v>702.20916439999996</v>
      </c>
      <c r="L90" s="33">
        <f>(K90-G90)/G90</f>
        <v>-0.79936881017142847</v>
      </c>
      <c r="M90" s="28">
        <f>K90-G90</f>
        <v>-2797.7908355999998</v>
      </c>
      <c r="N90" s="41"/>
      <c r="O90" s="30"/>
      <c r="P90" s="34"/>
    </row>
    <row r="91" spans="1:16" x14ac:dyDescent="0.2">
      <c r="A91" s="20" t="s">
        <v>171</v>
      </c>
      <c r="B91" s="20" t="s">
        <v>172</v>
      </c>
      <c r="C91" s="21">
        <v>44807</v>
      </c>
      <c r="D91" s="20">
        <v>50</v>
      </c>
      <c r="E91" s="22">
        <v>1</v>
      </c>
      <c r="F91" s="26">
        <v>7.25</v>
      </c>
      <c r="G91" s="24">
        <f>((F91*D91)/E91)</f>
        <v>362.5</v>
      </c>
      <c r="H91" s="54">
        <v>5.87</v>
      </c>
      <c r="I91" s="55">
        <f>0.12*20</f>
        <v>2.4</v>
      </c>
      <c r="J91" s="22">
        <v>1</v>
      </c>
      <c r="K91" s="24">
        <f>((H91)/J91)*(D91+I91)</f>
        <v>307.58800000000002</v>
      </c>
      <c r="L91" s="33">
        <f>(K91-G91)/G91</f>
        <v>-0.15148137931034478</v>
      </c>
      <c r="M91" s="28">
        <f>K91-G91</f>
        <v>-54.911999999999978</v>
      </c>
      <c r="N91" s="41"/>
      <c r="O91" s="30"/>
      <c r="P91" s="34"/>
    </row>
    <row r="92" spans="1:16" x14ac:dyDescent="0.2">
      <c r="A92" s="2" t="s">
        <v>173</v>
      </c>
      <c r="B92" s="3"/>
      <c r="C92" s="3"/>
      <c r="D92" s="3"/>
      <c r="E92" s="3"/>
      <c r="F92" s="4"/>
      <c r="G92" s="5"/>
      <c r="H92" s="6"/>
      <c r="I92" s="6"/>
      <c r="J92" s="6"/>
      <c r="K92" s="7"/>
      <c r="L92" s="8" t="s">
        <v>1</v>
      </c>
      <c r="M92" s="9">
        <f>SUM(K93:K134)</f>
        <v>7677.3147672175683</v>
      </c>
      <c r="N92" s="10"/>
      <c r="O92" s="11"/>
      <c r="P92" s="12">
        <f>M92/P165</f>
        <v>0.14128838137669261</v>
      </c>
    </row>
    <row r="93" spans="1:16" x14ac:dyDescent="0.2">
      <c r="A93" s="56" t="s">
        <v>174</v>
      </c>
      <c r="B93" s="56" t="s">
        <v>50</v>
      </c>
      <c r="C93" s="57">
        <v>43187</v>
      </c>
      <c r="D93" s="20">
        <v>22</v>
      </c>
      <c r="E93" s="22">
        <v>1.24</v>
      </c>
      <c r="F93" s="58">
        <v>12.22</v>
      </c>
      <c r="G93" s="24">
        <f>(F93*D93)/E93</f>
        <v>216.80645161290326</v>
      </c>
      <c r="H93" s="46">
        <f>'[1]auto data'!J14</f>
        <v>7.32</v>
      </c>
      <c r="I93" s="26">
        <v>0</v>
      </c>
      <c r="J93" s="22">
        <f>C159</f>
        <v>1.0670081092616304</v>
      </c>
      <c r="K93" s="24">
        <f>((H93+I93)/J93)*D93</f>
        <v>150.92668800000001</v>
      </c>
      <c r="L93" s="27">
        <f t="shared" ref="L93:L101" si="33">(K93-G93)/G93+1</f>
        <v>0.69613559410801962</v>
      </c>
      <c r="M93" s="59"/>
      <c r="N93" s="60"/>
      <c r="O93" s="61" t="s">
        <v>175</v>
      </c>
      <c r="P93" s="62">
        <v>3</v>
      </c>
    </row>
    <row r="94" spans="1:16" x14ac:dyDescent="0.2">
      <c r="A94" s="56" t="s">
        <v>176</v>
      </c>
      <c r="B94" s="20" t="s">
        <v>50</v>
      </c>
      <c r="C94" s="21">
        <v>44747</v>
      </c>
      <c r="D94" s="20">
        <v>5</v>
      </c>
      <c r="E94" s="22">
        <v>1.0264</v>
      </c>
      <c r="F94" s="23">
        <v>6.63</v>
      </c>
      <c r="G94" s="24">
        <f>(F94*D94)/E94</f>
        <v>32.297349961028836</v>
      </c>
      <c r="H94" s="36">
        <f>'[1]auto data'!J14</f>
        <v>7.32</v>
      </c>
      <c r="I94" s="26">
        <v>0</v>
      </c>
      <c r="J94" s="22">
        <f>C159</f>
        <v>1.0670081092616304</v>
      </c>
      <c r="K94" s="24">
        <f>((H94+I94)/J94)*D94</f>
        <v>34.301520000000004</v>
      </c>
      <c r="L94" s="27">
        <f>(K94-G94)/G94</f>
        <v>6.2053699185520568E-2</v>
      </c>
      <c r="M94" s="28"/>
      <c r="N94" s="60"/>
      <c r="O94" s="61" t="s">
        <v>175</v>
      </c>
      <c r="P94" s="62" t="s">
        <v>177</v>
      </c>
    </row>
    <row r="95" spans="1:16" x14ac:dyDescent="0.2">
      <c r="A95" s="20" t="s">
        <v>178</v>
      </c>
      <c r="B95" s="20" t="s">
        <v>179</v>
      </c>
      <c r="C95" s="21">
        <v>43102</v>
      </c>
      <c r="D95" s="63">
        <v>8</v>
      </c>
      <c r="E95" s="64">
        <v>1.24</v>
      </c>
      <c r="F95" s="26">
        <v>150</v>
      </c>
      <c r="G95" s="24">
        <f t="shared" ref="G95:G115" si="34">(F95*D95)/E95</f>
        <v>967.74193548387098</v>
      </c>
      <c r="H95" s="46">
        <f>'[1]auto data'!V3</f>
        <v>143.5</v>
      </c>
      <c r="I95" s="65">
        <f>[1]Dividend!P7</f>
        <v>5.7369999999999992</v>
      </c>
      <c r="J95" s="64">
        <f>C159</f>
        <v>1.0670081092616304</v>
      </c>
      <c r="K95" s="66">
        <f t="shared" ref="K95:K118" si="35">((H95+I95)/J95)*D95</f>
        <v>1118.9193312</v>
      </c>
      <c r="L95" s="27">
        <f t="shared" si="33"/>
        <v>1.15621664224</v>
      </c>
      <c r="M95" s="59"/>
      <c r="N95" s="60"/>
      <c r="O95" s="61" t="s">
        <v>175</v>
      </c>
      <c r="P95" s="62">
        <v>5</v>
      </c>
    </row>
    <row r="96" spans="1:16" x14ac:dyDescent="0.2">
      <c r="A96" s="20" t="s">
        <v>180</v>
      </c>
      <c r="B96" s="20" t="s">
        <v>19</v>
      </c>
      <c r="C96" s="21">
        <v>43102</v>
      </c>
      <c r="D96" s="63">
        <v>50</v>
      </c>
      <c r="E96" s="64">
        <v>1.24</v>
      </c>
      <c r="F96" s="20">
        <v>5.03</v>
      </c>
      <c r="G96" s="24">
        <f t="shared" si="34"/>
        <v>202.82258064516128</v>
      </c>
      <c r="H96" s="46">
        <f>'[1]auto data'!J3</f>
        <v>5.73</v>
      </c>
      <c r="I96" s="65">
        <f>I4</f>
        <v>8.2000000000000003E-2</v>
      </c>
      <c r="J96" s="64">
        <f>C159</f>
        <v>1.0670081092616304</v>
      </c>
      <c r="K96" s="67">
        <f t="shared" si="35"/>
        <v>272.35032000000001</v>
      </c>
      <c r="L96" s="27">
        <f t="shared" si="33"/>
        <v>1.3428007825049704</v>
      </c>
      <c r="M96" s="59"/>
      <c r="N96" s="60"/>
      <c r="O96" s="61" t="s">
        <v>175</v>
      </c>
      <c r="P96" s="62">
        <v>6</v>
      </c>
    </row>
    <row r="97" spans="1:16" x14ac:dyDescent="0.2">
      <c r="A97" s="20" t="s">
        <v>181</v>
      </c>
      <c r="B97" s="20" t="s">
        <v>19</v>
      </c>
      <c r="C97" s="21">
        <v>44726</v>
      </c>
      <c r="D97" s="20">
        <v>5</v>
      </c>
      <c r="E97" s="22">
        <v>1.0409999999999999</v>
      </c>
      <c r="F97" s="23">
        <v>6.0750000000000002</v>
      </c>
      <c r="G97" s="24">
        <f t="shared" si="34"/>
        <v>29.178674351585016</v>
      </c>
      <c r="H97" s="25">
        <f>'[1]auto data'!J3</f>
        <v>5.73</v>
      </c>
      <c r="I97" s="26">
        <f>I5</f>
        <v>0.05</v>
      </c>
      <c r="J97" s="22">
        <f>C159</f>
        <v>1.0670081092616304</v>
      </c>
      <c r="K97" s="24">
        <f>((H97+I97)/J97)*D97</f>
        <v>27.085080000000001</v>
      </c>
      <c r="L97" s="27">
        <f>(K97-G97)/G97</f>
        <v>-7.1750838518518531E-2</v>
      </c>
      <c r="M97" s="28"/>
      <c r="N97" s="60"/>
      <c r="O97" s="61" t="s">
        <v>175</v>
      </c>
      <c r="P97" s="62" t="s">
        <v>182</v>
      </c>
    </row>
    <row r="98" spans="1:16" x14ac:dyDescent="0.2">
      <c r="A98" s="20" t="s">
        <v>183</v>
      </c>
      <c r="B98" s="20" t="s">
        <v>19</v>
      </c>
      <c r="C98" s="21">
        <v>44735</v>
      </c>
      <c r="D98" s="20">
        <v>7</v>
      </c>
      <c r="E98" s="22">
        <v>1.0550999999999999</v>
      </c>
      <c r="F98" s="23">
        <v>5.98</v>
      </c>
      <c r="G98" s="24">
        <f t="shared" si="34"/>
        <v>39.673964553122929</v>
      </c>
      <c r="H98" s="25">
        <f>'[1]auto data'!J3</f>
        <v>5.73</v>
      </c>
      <c r="I98" s="26">
        <f>I97</f>
        <v>0.05</v>
      </c>
      <c r="J98" s="22">
        <f>C159</f>
        <v>1.0670081092616304</v>
      </c>
      <c r="K98" s="24">
        <f>((H98+I98)/J98)*D98</f>
        <v>37.919111999999998</v>
      </c>
      <c r="L98" s="27">
        <f>(K98-G98)/G98</f>
        <v>-4.4231842541806107E-2</v>
      </c>
      <c r="M98" s="28"/>
      <c r="N98" s="60"/>
      <c r="O98" s="61" t="s">
        <v>175</v>
      </c>
      <c r="P98" s="62" t="s">
        <v>184</v>
      </c>
    </row>
    <row r="99" spans="1:16" x14ac:dyDescent="0.2">
      <c r="A99" s="20" t="s">
        <v>185</v>
      </c>
      <c r="B99" s="20" t="s">
        <v>19</v>
      </c>
      <c r="C99" s="21">
        <v>44806</v>
      </c>
      <c r="D99" s="20">
        <v>10</v>
      </c>
      <c r="E99" s="22">
        <v>0.99550000000000005</v>
      </c>
      <c r="F99" s="23">
        <v>5.4</v>
      </c>
      <c r="G99" s="24">
        <f t="shared" si="34"/>
        <v>54.244098442993469</v>
      </c>
      <c r="H99" s="25">
        <f>'[1]auto data'!J3</f>
        <v>5.73</v>
      </c>
      <c r="I99" s="26">
        <f>I98</f>
        <v>0.05</v>
      </c>
      <c r="J99" s="22">
        <f>C159</f>
        <v>1.0670081092616304</v>
      </c>
      <c r="K99" s="24">
        <f>((H99+I99)/J99)*D99</f>
        <v>54.170160000000003</v>
      </c>
      <c r="L99" s="27">
        <f>(K99-G99)/G99</f>
        <v>-1.3630688888888033E-3</v>
      </c>
      <c r="M99" s="28"/>
      <c r="N99" s="60"/>
      <c r="O99" s="61" t="s">
        <v>175</v>
      </c>
      <c r="P99" s="62" t="s">
        <v>186</v>
      </c>
    </row>
    <row r="100" spans="1:16" x14ac:dyDescent="0.2">
      <c r="A100" s="20" t="s">
        <v>187</v>
      </c>
      <c r="B100" s="20" t="s">
        <v>39</v>
      </c>
      <c r="C100" s="21">
        <v>43683</v>
      </c>
      <c r="D100" s="63">
        <v>33</v>
      </c>
      <c r="E100" s="64">
        <v>1.49</v>
      </c>
      <c r="F100" s="20">
        <v>4.6399999999999997</v>
      </c>
      <c r="G100" s="24">
        <f t="shared" si="34"/>
        <v>102.76510067114093</v>
      </c>
      <c r="H100" s="46">
        <f>'[1]auto data'!J10</f>
        <v>5.18</v>
      </c>
      <c r="I100" s="65">
        <v>0</v>
      </c>
      <c r="J100" s="64">
        <f>C160</f>
        <v>1.4652014652014651</v>
      </c>
      <c r="K100" s="67">
        <f t="shared" si="35"/>
        <v>116.66655</v>
      </c>
      <c r="L100" s="27">
        <f t="shared" si="33"/>
        <v>1.135274030172414</v>
      </c>
      <c r="M100" s="59"/>
      <c r="N100" s="60"/>
      <c r="O100" s="61" t="s">
        <v>175</v>
      </c>
      <c r="P100" s="62">
        <v>7</v>
      </c>
    </row>
    <row r="101" spans="1:16" x14ac:dyDescent="0.2">
      <c r="A101" s="20" t="s">
        <v>188</v>
      </c>
      <c r="B101" s="20" t="s">
        <v>189</v>
      </c>
      <c r="C101" s="21">
        <v>43994</v>
      </c>
      <c r="D101" s="20">
        <v>45</v>
      </c>
      <c r="E101" s="22">
        <v>1.1255999999999999</v>
      </c>
      <c r="F101" s="23">
        <v>5</v>
      </c>
      <c r="G101" s="24">
        <f t="shared" si="34"/>
        <v>199.89339019189768</v>
      </c>
      <c r="H101" s="40">
        <f>'[1]auto data'!V4</f>
        <v>3.08</v>
      </c>
      <c r="I101" s="20">
        <v>0</v>
      </c>
      <c r="J101" s="22">
        <f>C159</f>
        <v>1.0670081092616304</v>
      </c>
      <c r="K101" s="24">
        <f t="shared" si="35"/>
        <v>129.89592000000002</v>
      </c>
      <c r="L101" s="27">
        <f t="shared" si="33"/>
        <v>0.64982598912</v>
      </c>
      <c r="M101" s="59"/>
      <c r="N101" s="60"/>
      <c r="O101" s="30" t="s">
        <v>175</v>
      </c>
      <c r="P101" s="62">
        <v>8</v>
      </c>
    </row>
    <row r="102" spans="1:16" x14ac:dyDescent="0.2">
      <c r="A102" s="20" t="s">
        <v>190</v>
      </c>
      <c r="B102" s="20" t="s">
        <v>191</v>
      </c>
      <c r="C102" s="21">
        <v>44077</v>
      </c>
      <c r="D102" s="20">
        <v>350</v>
      </c>
      <c r="E102" s="22">
        <v>1.55</v>
      </c>
      <c r="F102" s="23">
        <v>0.48499999999999999</v>
      </c>
      <c r="G102" s="24">
        <f t="shared" si="34"/>
        <v>109.51612903225806</v>
      </c>
      <c r="H102" s="25">
        <f>'[1]auto data'!V5</f>
        <v>0.14000000000000001</v>
      </c>
      <c r="I102" s="20">
        <v>0</v>
      </c>
      <c r="J102" s="22">
        <f>C160</f>
        <v>1.4652014652014651</v>
      </c>
      <c r="K102" s="24">
        <f t="shared" si="35"/>
        <v>33.442500000000003</v>
      </c>
      <c r="L102" s="27">
        <f>(K102-G102)/G102+1</f>
        <v>0.30536597938144339</v>
      </c>
      <c r="M102" s="59"/>
      <c r="N102" s="60"/>
      <c r="O102" s="68" t="s">
        <v>192</v>
      </c>
      <c r="P102" s="62">
        <v>1</v>
      </c>
    </row>
    <row r="103" spans="1:16" x14ac:dyDescent="0.2">
      <c r="A103" s="20" t="s">
        <v>193</v>
      </c>
      <c r="B103" s="20" t="s">
        <v>50</v>
      </c>
      <c r="C103" s="21">
        <v>44033</v>
      </c>
      <c r="D103" s="20">
        <v>39</v>
      </c>
      <c r="E103" s="22">
        <v>1.1000000000000001</v>
      </c>
      <c r="F103" s="23">
        <v>8.92</v>
      </c>
      <c r="G103" s="24">
        <f t="shared" si="34"/>
        <v>316.25454545454545</v>
      </c>
      <c r="H103" s="25">
        <f>'[1]auto data'!J14</f>
        <v>7.32</v>
      </c>
      <c r="I103" s="37">
        <v>0</v>
      </c>
      <c r="J103" s="20">
        <v>1.2079</v>
      </c>
      <c r="K103" s="24">
        <f t="shared" si="35"/>
        <v>236.3440682175677</v>
      </c>
      <c r="L103" s="27">
        <f t="shared" ref="L103:L118" si="36">(K103-G103)/G103</f>
        <v>-0.25267771921546378</v>
      </c>
      <c r="M103" s="59"/>
      <c r="N103" s="60"/>
      <c r="O103" s="30" t="s">
        <v>194</v>
      </c>
      <c r="P103" s="69">
        <v>8</v>
      </c>
    </row>
    <row r="104" spans="1:16" x14ac:dyDescent="0.2">
      <c r="A104" s="20" t="s">
        <v>195</v>
      </c>
      <c r="B104" s="20" t="s">
        <v>196</v>
      </c>
      <c r="C104" s="21">
        <v>43102</v>
      </c>
      <c r="D104" s="20">
        <v>275</v>
      </c>
      <c r="E104" s="22">
        <v>1.51</v>
      </c>
      <c r="F104" s="23">
        <v>2.1800000000000002</v>
      </c>
      <c r="G104" s="24">
        <f t="shared" si="34"/>
        <v>397.01986754966885</v>
      </c>
      <c r="H104" s="46">
        <f>'[1]auto data'!V6</f>
        <v>3.7</v>
      </c>
      <c r="I104" s="20">
        <v>0</v>
      </c>
      <c r="J104" s="22">
        <f>C160</f>
        <v>1.4652014652014651</v>
      </c>
      <c r="K104" s="24">
        <f t="shared" si="35"/>
        <v>694.44375000000002</v>
      </c>
      <c r="L104" s="27">
        <f t="shared" si="36"/>
        <v>0.7491410550458717</v>
      </c>
      <c r="M104" s="59"/>
      <c r="N104" s="60"/>
      <c r="O104" s="30" t="s">
        <v>197</v>
      </c>
      <c r="P104" s="62">
        <v>1</v>
      </c>
    </row>
    <row r="105" spans="1:16" x14ac:dyDescent="0.2">
      <c r="A105" s="20" t="s">
        <v>198</v>
      </c>
      <c r="B105" s="20" t="s">
        <v>199</v>
      </c>
      <c r="C105" s="21">
        <v>43822</v>
      </c>
      <c r="D105" s="20">
        <v>190</v>
      </c>
      <c r="E105" s="22">
        <v>1.51</v>
      </c>
      <c r="F105" s="23">
        <v>1.18</v>
      </c>
      <c r="G105" s="24">
        <f t="shared" si="34"/>
        <v>148.47682119205297</v>
      </c>
      <c r="H105" s="46">
        <f>'[1]auto data'!P13</f>
        <v>2.89</v>
      </c>
      <c r="I105" s="20">
        <v>0</v>
      </c>
      <c r="J105" s="22">
        <f>C160</f>
        <v>1.4652014652014651</v>
      </c>
      <c r="K105" s="24">
        <f t="shared" si="35"/>
        <v>374.76075000000009</v>
      </c>
      <c r="L105" s="27">
        <f t="shared" si="36"/>
        <v>1.5240353813559331</v>
      </c>
      <c r="M105" s="59"/>
      <c r="N105" s="60"/>
      <c r="O105" s="30" t="s">
        <v>197</v>
      </c>
      <c r="P105" s="62">
        <v>2</v>
      </c>
    </row>
    <row r="106" spans="1:16" x14ac:dyDescent="0.2">
      <c r="A106" s="20" t="s">
        <v>200</v>
      </c>
      <c r="B106" s="20" t="s">
        <v>146</v>
      </c>
      <c r="C106" s="21">
        <v>44550</v>
      </c>
      <c r="D106" s="20">
        <v>26</v>
      </c>
      <c r="E106" s="22">
        <v>1.3149999999999999</v>
      </c>
      <c r="F106" s="23">
        <v>4.2699999999999996</v>
      </c>
      <c r="G106" s="24">
        <f t="shared" si="34"/>
        <v>84.42585551330798</v>
      </c>
      <c r="H106" s="46">
        <f>'[1]auto data'!P13</f>
        <v>2.89</v>
      </c>
      <c r="I106" s="20">
        <v>0</v>
      </c>
      <c r="J106" s="22">
        <f>C160</f>
        <v>1.4652014652014651</v>
      </c>
      <c r="K106" s="24">
        <f t="shared" si="35"/>
        <v>51.28305000000001</v>
      </c>
      <c r="L106" s="27">
        <f t="shared" si="36"/>
        <v>-0.39256700819672113</v>
      </c>
      <c r="M106" s="28"/>
      <c r="N106" s="29"/>
      <c r="O106" s="30" t="s">
        <v>197</v>
      </c>
      <c r="P106" s="62" t="s">
        <v>201</v>
      </c>
    </row>
    <row r="107" spans="1:16" x14ac:dyDescent="0.2">
      <c r="A107" s="20" t="s">
        <v>202</v>
      </c>
      <c r="B107" s="20" t="s">
        <v>146</v>
      </c>
      <c r="C107" s="21">
        <v>44699</v>
      </c>
      <c r="D107" s="20">
        <v>7</v>
      </c>
      <c r="E107" s="22">
        <v>1.3472999999999999</v>
      </c>
      <c r="F107" s="23">
        <v>3.58</v>
      </c>
      <c r="G107" s="24">
        <f t="shared" si="34"/>
        <v>18.600163289542049</v>
      </c>
      <c r="H107" s="46">
        <f>'[1]auto data'!P13</f>
        <v>2.89</v>
      </c>
      <c r="I107" s="20">
        <v>0</v>
      </c>
      <c r="J107" s="22">
        <f>C160</f>
        <v>1.4652014652014651</v>
      </c>
      <c r="K107" s="24">
        <f>((H107+I107)/J107)*D107</f>
        <v>13.806975000000001</v>
      </c>
      <c r="L107" s="27">
        <f>(K107-G107)/G107</f>
        <v>-0.25769603282122905</v>
      </c>
      <c r="M107" s="28"/>
      <c r="N107" s="29"/>
      <c r="O107" s="30" t="s">
        <v>197</v>
      </c>
      <c r="P107" s="62" t="s">
        <v>203</v>
      </c>
    </row>
    <row r="108" spans="1:16" x14ac:dyDescent="0.2">
      <c r="A108" s="20" t="s">
        <v>204</v>
      </c>
      <c r="B108" s="20" t="s">
        <v>205</v>
      </c>
      <c r="C108" s="21">
        <v>43374</v>
      </c>
      <c r="D108" s="20">
        <v>700</v>
      </c>
      <c r="E108" s="22">
        <v>1.1499999999999999</v>
      </c>
      <c r="F108" s="23">
        <v>0.66</v>
      </c>
      <c r="G108" s="24">
        <f t="shared" si="34"/>
        <v>401.73913043478262</v>
      </c>
      <c r="H108" s="46">
        <f>'[1]auto data'!V7</f>
        <v>0.93520000000000003</v>
      </c>
      <c r="I108" s="20">
        <v>0</v>
      </c>
      <c r="J108" s="22">
        <f>C159</f>
        <v>1.0670081092616304</v>
      </c>
      <c r="K108" s="24">
        <f t="shared" si="35"/>
        <v>613.52860800000008</v>
      </c>
      <c r="L108" s="27">
        <f t="shared" si="36"/>
        <v>0.52718160000000014</v>
      </c>
      <c r="M108" s="59"/>
      <c r="N108" s="60"/>
      <c r="O108" s="30" t="s">
        <v>197</v>
      </c>
      <c r="P108" s="62">
        <v>3</v>
      </c>
    </row>
    <row r="109" spans="1:16" x14ac:dyDescent="0.2">
      <c r="A109" s="20" t="s">
        <v>206</v>
      </c>
      <c r="B109" s="20" t="s">
        <v>205</v>
      </c>
      <c r="C109" s="21">
        <v>44586</v>
      </c>
      <c r="D109" s="20">
        <v>170</v>
      </c>
      <c r="E109" s="22">
        <v>1.1324000000000001</v>
      </c>
      <c r="F109" s="23">
        <v>1.1000000000000001</v>
      </c>
      <c r="G109" s="24">
        <f t="shared" si="34"/>
        <v>165.13599434828683</v>
      </c>
      <c r="H109" s="46">
        <f>'[1]auto data'!V7</f>
        <v>0.93520000000000003</v>
      </c>
      <c r="I109" s="20">
        <v>0</v>
      </c>
      <c r="J109" s="22">
        <f>C159</f>
        <v>1.0670081092616304</v>
      </c>
      <c r="K109" s="24">
        <f t="shared" si="35"/>
        <v>148.99980480000002</v>
      </c>
      <c r="L109" s="27">
        <f t="shared" si="36"/>
        <v>-9.7714551039999903E-2</v>
      </c>
      <c r="M109" s="28"/>
      <c r="N109" s="29"/>
      <c r="O109" s="30" t="s">
        <v>197</v>
      </c>
      <c r="P109" s="70" t="s">
        <v>177</v>
      </c>
    </row>
    <row r="110" spans="1:16" x14ac:dyDescent="0.2">
      <c r="A110" s="20" t="s">
        <v>207</v>
      </c>
      <c r="B110" s="20" t="s">
        <v>208</v>
      </c>
      <c r="C110" s="21">
        <v>43854</v>
      </c>
      <c r="D110" s="20">
        <v>50</v>
      </c>
      <c r="E110" s="22">
        <v>1.46</v>
      </c>
      <c r="F110" s="20">
        <v>3.71</v>
      </c>
      <c r="G110" s="24">
        <f t="shared" si="34"/>
        <v>127.05479452054794</v>
      </c>
      <c r="H110" s="46">
        <f>'[1]auto data'!V8</f>
        <v>11.13</v>
      </c>
      <c r="I110" s="20">
        <v>0</v>
      </c>
      <c r="J110" s="22">
        <f>C160</f>
        <v>1.4652014652014651</v>
      </c>
      <c r="K110" s="24">
        <f t="shared" si="35"/>
        <v>379.81125000000009</v>
      </c>
      <c r="L110" s="27">
        <f t="shared" si="36"/>
        <v>1.9893500000000006</v>
      </c>
      <c r="M110" s="59"/>
      <c r="N110" s="60"/>
      <c r="O110" s="30" t="s">
        <v>209</v>
      </c>
      <c r="P110" s="69">
        <v>2</v>
      </c>
    </row>
    <row r="111" spans="1:16" x14ac:dyDescent="0.2">
      <c r="A111" s="20" t="s">
        <v>210</v>
      </c>
      <c r="B111" s="20" t="s">
        <v>211</v>
      </c>
      <c r="C111" s="21">
        <v>44229</v>
      </c>
      <c r="D111" s="20">
        <v>75</v>
      </c>
      <c r="E111" s="22">
        <v>1.2022999999999999</v>
      </c>
      <c r="F111" s="23">
        <v>1.74</v>
      </c>
      <c r="G111" s="24">
        <f t="shared" si="34"/>
        <v>108.54196124095485</v>
      </c>
      <c r="H111" s="46">
        <f>'[1]auto data'!V9</f>
        <v>3.29</v>
      </c>
      <c r="I111" s="20">
        <v>0</v>
      </c>
      <c r="J111" s="22">
        <f>C159</f>
        <v>1.0670081092616304</v>
      </c>
      <c r="K111" s="24">
        <f t="shared" si="35"/>
        <v>231.25410000000002</v>
      </c>
      <c r="L111" s="27">
        <f t="shared" si="36"/>
        <v>1.1305502255172413</v>
      </c>
      <c r="M111" s="28"/>
      <c r="N111" s="29"/>
      <c r="O111" s="30" t="s">
        <v>197</v>
      </c>
      <c r="P111" s="62">
        <v>4</v>
      </c>
    </row>
    <row r="112" spans="1:16" x14ac:dyDescent="0.2">
      <c r="A112" s="20" t="s">
        <v>212</v>
      </c>
      <c r="B112" s="20" t="s">
        <v>211</v>
      </c>
      <c r="C112" s="21">
        <v>44589</v>
      </c>
      <c r="D112" s="20">
        <v>50</v>
      </c>
      <c r="E112" s="22">
        <v>1.1152</v>
      </c>
      <c r="F112" s="71">
        <v>2.42</v>
      </c>
      <c r="G112" s="24">
        <f t="shared" si="34"/>
        <v>108.50071736011478</v>
      </c>
      <c r="H112" s="46">
        <f>'[1]auto data'!V9</f>
        <v>3.29</v>
      </c>
      <c r="I112" s="20">
        <v>0</v>
      </c>
      <c r="J112" s="22">
        <f>C159</f>
        <v>1.0670081092616304</v>
      </c>
      <c r="K112" s="24">
        <f t="shared" si="35"/>
        <v>154.16940000000002</v>
      </c>
      <c r="L112" s="72">
        <f t="shared" si="36"/>
        <v>0.4209067345454548</v>
      </c>
      <c r="M112" s="28"/>
      <c r="N112" s="29"/>
      <c r="O112" s="30" t="s">
        <v>197</v>
      </c>
      <c r="P112" s="62" t="s">
        <v>213</v>
      </c>
    </row>
    <row r="113" spans="1:16" x14ac:dyDescent="0.2">
      <c r="A113" s="20" t="s">
        <v>214</v>
      </c>
      <c r="B113" s="20" t="s">
        <v>211</v>
      </c>
      <c r="C113" s="21">
        <v>44690</v>
      </c>
      <c r="D113" s="20">
        <v>10</v>
      </c>
      <c r="E113" s="22">
        <v>1.0529999999999999</v>
      </c>
      <c r="F113" s="23">
        <v>3.62</v>
      </c>
      <c r="G113" s="24">
        <f t="shared" si="34"/>
        <v>34.377967711301046</v>
      </c>
      <c r="H113" s="46">
        <f>'[1]auto data'!V9</f>
        <v>3.29</v>
      </c>
      <c r="I113" s="20">
        <v>0</v>
      </c>
      <c r="J113" s="22">
        <f>C159</f>
        <v>1.0670081092616304</v>
      </c>
      <c r="K113" s="24">
        <f>((H113+I113)/J113)*D113</f>
        <v>30.833880000000001</v>
      </c>
      <c r="L113" s="27">
        <f t="shared" si="36"/>
        <v>-0.10309183314917129</v>
      </c>
      <c r="M113" s="28"/>
      <c r="N113" s="29"/>
      <c r="O113" s="30" t="s">
        <v>197</v>
      </c>
      <c r="P113" s="62" t="s">
        <v>215</v>
      </c>
    </row>
    <row r="114" spans="1:16" x14ac:dyDescent="0.2">
      <c r="A114" s="20" t="s">
        <v>216</v>
      </c>
      <c r="B114" s="20" t="s">
        <v>211</v>
      </c>
      <c r="C114" s="21">
        <v>44795</v>
      </c>
      <c r="D114" s="20">
        <v>18</v>
      </c>
      <c r="E114" s="22">
        <v>0.99419999999999997</v>
      </c>
      <c r="F114" s="23">
        <v>3.375</v>
      </c>
      <c r="G114" s="24">
        <f t="shared" si="34"/>
        <v>61.104405552202778</v>
      </c>
      <c r="H114" s="46">
        <f>'[1]auto data'!V9</f>
        <v>3.29</v>
      </c>
      <c r="I114" s="20">
        <v>0</v>
      </c>
      <c r="J114" s="22">
        <f>C159</f>
        <v>1.0670081092616304</v>
      </c>
      <c r="K114" s="24">
        <f>((H114+I114)/J114)*D114</f>
        <v>55.500984000000003</v>
      </c>
      <c r="L114" s="27">
        <f t="shared" si="36"/>
        <v>-9.1702414933333309E-2</v>
      </c>
      <c r="M114" s="28"/>
      <c r="N114" s="29"/>
      <c r="O114" s="30" t="s">
        <v>197</v>
      </c>
      <c r="P114" s="62" t="s">
        <v>217</v>
      </c>
    </row>
    <row r="115" spans="1:16" x14ac:dyDescent="0.2">
      <c r="A115" s="20" t="s">
        <v>218</v>
      </c>
      <c r="B115" s="20" t="s">
        <v>211</v>
      </c>
      <c r="C115" s="21">
        <v>44673</v>
      </c>
      <c r="D115" s="20">
        <v>32</v>
      </c>
      <c r="E115" s="22">
        <v>1.0787</v>
      </c>
      <c r="F115" s="23">
        <v>4.62</v>
      </c>
      <c r="G115" s="24">
        <f t="shared" si="34"/>
        <v>137.05386112913692</v>
      </c>
      <c r="H115" s="46">
        <f>'[1]auto data'!V9</f>
        <v>3.29</v>
      </c>
      <c r="I115" s="20">
        <v>0</v>
      </c>
      <c r="J115" s="22">
        <f>C159</f>
        <v>1.0670081092616304</v>
      </c>
      <c r="K115" s="24">
        <f>((H115+I115)/J115)*D115</f>
        <v>98.668416000000008</v>
      </c>
      <c r="L115" s="27">
        <f t="shared" si="36"/>
        <v>-0.28007561999999991</v>
      </c>
      <c r="M115" s="28"/>
      <c r="N115" s="29"/>
      <c r="O115" s="30" t="s">
        <v>197</v>
      </c>
      <c r="P115" s="62" t="s">
        <v>219</v>
      </c>
    </row>
    <row r="116" spans="1:16" x14ac:dyDescent="0.2">
      <c r="A116" s="20" t="s">
        <v>220</v>
      </c>
      <c r="B116" s="20" t="s">
        <v>221</v>
      </c>
      <c r="C116" s="21">
        <v>43874</v>
      </c>
      <c r="D116" s="20">
        <v>300</v>
      </c>
      <c r="E116" s="22">
        <v>1.44</v>
      </c>
      <c r="F116" s="20">
        <v>0.37</v>
      </c>
      <c r="G116" s="24">
        <f>(F116*D116)/E116</f>
        <v>77.083333333333343</v>
      </c>
      <c r="H116" s="48">
        <f>'[1]auto data'!V10</f>
        <v>0.23</v>
      </c>
      <c r="I116" s="20">
        <v>0</v>
      </c>
      <c r="J116" s="22">
        <f>C160</f>
        <v>1.4652014652014651</v>
      </c>
      <c r="K116" s="24">
        <f t="shared" si="35"/>
        <v>47.092500000000008</v>
      </c>
      <c r="L116" s="27">
        <f t="shared" si="36"/>
        <v>-0.38907027027027025</v>
      </c>
      <c r="M116" s="28"/>
      <c r="N116" s="29"/>
      <c r="O116" s="30" t="s">
        <v>209</v>
      </c>
      <c r="P116" s="62">
        <v>3</v>
      </c>
    </row>
    <row r="117" spans="1:16" x14ac:dyDescent="0.2">
      <c r="A117" s="20" t="s">
        <v>222</v>
      </c>
      <c r="B117" s="20" t="s">
        <v>223</v>
      </c>
      <c r="C117" s="21">
        <v>44287</v>
      </c>
      <c r="D117" s="20">
        <v>750</v>
      </c>
      <c r="E117" s="22">
        <v>1.55</v>
      </c>
      <c r="F117" s="23">
        <v>0.37</v>
      </c>
      <c r="G117" s="24">
        <f t="shared" ref="G117:G134" si="37">(F117*D117)/E117</f>
        <v>179.03225806451613</v>
      </c>
      <c r="H117" s="46">
        <f>'[1]auto data'!V11</f>
        <v>0.62</v>
      </c>
      <c r="I117" s="20">
        <v>0</v>
      </c>
      <c r="J117" s="22">
        <f>C161</f>
        <v>1.5936254980079683</v>
      </c>
      <c r="K117" s="24">
        <f t="shared" si="35"/>
        <v>291.78749999999997</v>
      </c>
      <c r="L117" s="27">
        <f t="shared" si="36"/>
        <v>0.62980405405405382</v>
      </c>
      <c r="M117" s="28"/>
      <c r="N117" s="29"/>
      <c r="O117" s="30" t="s">
        <v>197</v>
      </c>
      <c r="P117" s="62">
        <v>5</v>
      </c>
    </row>
    <row r="118" spans="1:16" x14ac:dyDescent="0.2">
      <c r="A118" s="20" t="s">
        <v>224</v>
      </c>
      <c r="B118" s="20" t="s">
        <v>225</v>
      </c>
      <c r="C118" s="21">
        <v>44229</v>
      </c>
      <c r="D118" s="20">
        <v>75</v>
      </c>
      <c r="E118" s="22">
        <v>1.55</v>
      </c>
      <c r="F118" s="23">
        <v>2</v>
      </c>
      <c r="G118" s="24">
        <f t="shared" si="37"/>
        <v>96.774193548387089</v>
      </c>
      <c r="H118" s="46">
        <f>'[1]auto data'!V12</f>
        <v>2.58</v>
      </c>
      <c r="I118" s="20">
        <v>0</v>
      </c>
      <c r="J118" s="22">
        <f>C160</f>
        <v>1.4652014652014651</v>
      </c>
      <c r="K118" s="24">
        <f t="shared" si="35"/>
        <v>132.06375000000003</v>
      </c>
      <c r="L118" s="27">
        <f t="shared" si="36"/>
        <v>0.36465875000000036</v>
      </c>
      <c r="M118" s="28"/>
      <c r="N118" s="29"/>
      <c r="O118" s="30" t="s">
        <v>197</v>
      </c>
      <c r="P118" s="62">
        <v>6</v>
      </c>
    </row>
    <row r="119" spans="1:16" x14ac:dyDescent="0.2">
      <c r="A119" s="20" t="s">
        <v>226</v>
      </c>
      <c r="B119" s="20" t="s">
        <v>150</v>
      </c>
      <c r="C119" s="21">
        <v>44321</v>
      </c>
      <c r="D119" s="20">
        <v>2000</v>
      </c>
      <c r="E119" s="22">
        <v>1.5603</v>
      </c>
      <c r="F119" s="23">
        <v>0.14000000000000001</v>
      </c>
      <c r="G119" s="24">
        <f t="shared" si="37"/>
        <v>179.45266935845672</v>
      </c>
      <c r="H119" s="46">
        <f>'[1]auto data'!V13</f>
        <v>0.125</v>
      </c>
      <c r="I119" s="20">
        <v>0</v>
      </c>
      <c r="J119" s="22">
        <f>C161</f>
        <v>1.5936254980079683</v>
      </c>
      <c r="K119" s="24">
        <f>((H119+I119)/J119)*D119</f>
        <v>156.875</v>
      </c>
      <c r="L119" s="27">
        <f>(K119-G119)/G119</f>
        <v>-0.12581406250000005</v>
      </c>
      <c r="M119" s="28"/>
      <c r="N119" s="19"/>
      <c r="O119" s="62" t="s">
        <v>197</v>
      </c>
      <c r="P119" s="62">
        <v>7</v>
      </c>
    </row>
    <row r="120" spans="1:16" x14ac:dyDescent="0.2">
      <c r="A120" s="20" t="s">
        <v>227</v>
      </c>
      <c r="B120" s="20" t="s">
        <v>152</v>
      </c>
      <c r="C120" s="21">
        <v>44281</v>
      </c>
      <c r="D120" s="20">
        <v>200</v>
      </c>
      <c r="E120" s="22">
        <v>1.55</v>
      </c>
      <c r="F120" s="23">
        <v>1.325</v>
      </c>
      <c r="G120" s="24">
        <f t="shared" si="37"/>
        <v>170.96774193548387</v>
      </c>
      <c r="H120" s="46">
        <f>'[1]auto data'!V14</f>
        <v>1.355</v>
      </c>
      <c r="I120" s="20">
        <v>0</v>
      </c>
      <c r="J120" s="22">
        <f>C161</f>
        <v>1.5936254980079683</v>
      </c>
      <c r="K120" s="24">
        <f>((H120+I120)/J120)*D120</f>
        <v>170.05249999999998</v>
      </c>
      <c r="L120" s="27">
        <f>(K120-G120)/G120</f>
        <v>-5.3533018867925712E-3</v>
      </c>
      <c r="M120" s="28"/>
      <c r="N120" s="19"/>
      <c r="O120" s="62" t="s">
        <v>197</v>
      </c>
      <c r="P120" s="62">
        <v>8</v>
      </c>
    </row>
    <row r="121" spans="1:16" x14ac:dyDescent="0.2">
      <c r="A121" s="20" t="s">
        <v>228</v>
      </c>
      <c r="B121" s="20" t="s">
        <v>229</v>
      </c>
      <c r="C121" s="21">
        <v>44321</v>
      </c>
      <c r="D121" s="20">
        <v>1500</v>
      </c>
      <c r="E121" s="22">
        <v>1.4799</v>
      </c>
      <c r="F121" s="23">
        <v>0.1</v>
      </c>
      <c r="G121" s="24">
        <f t="shared" si="37"/>
        <v>101.35819987837016</v>
      </c>
      <c r="H121" s="46">
        <f>'[1]auto data'!V15</f>
        <v>0.06</v>
      </c>
      <c r="I121" s="20">
        <v>0</v>
      </c>
      <c r="J121" s="22">
        <f>C160</f>
        <v>1.4652014652014651</v>
      </c>
      <c r="K121" s="24">
        <f>((H121+I121)/J121)*D121</f>
        <v>61.424999999999997</v>
      </c>
      <c r="L121" s="27">
        <f>(K121-G121)/G121</f>
        <v>-0.39398095</v>
      </c>
      <c r="M121" s="28"/>
      <c r="N121" s="19"/>
      <c r="O121" s="62" t="s">
        <v>197</v>
      </c>
      <c r="P121" s="62">
        <v>9</v>
      </c>
    </row>
    <row r="122" spans="1:16" x14ac:dyDescent="0.2">
      <c r="A122" s="20" t="s">
        <v>230</v>
      </c>
      <c r="B122" s="20" t="s">
        <v>231</v>
      </c>
      <c r="C122" s="21">
        <v>44216</v>
      </c>
      <c r="D122" s="20">
        <v>150</v>
      </c>
      <c r="E122" s="22">
        <v>1.55</v>
      </c>
      <c r="F122" s="23">
        <v>1.59</v>
      </c>
      <c r="G122" s="24">
        <f t="shared" si="37"/>
        <v>153.87096774193549</v>
      </c>
      <c r="H122" s="36">
        <f>'[1]auto data'!V16</f>
        <v>2.19</v>
      </c>
      <c r="I122" s="20">
        <v>0</v>
      </c>
      <c r="J122" s="22">
        <f>C160</f>
        <v>1.4652014652014651</v>
      </c>
      <c r="K122" s="24">
        <f>((H122+I122)/J122)*D122</f>
        <v>224.20124999999999</v>
      </c>
      <c r="L122" s="27">
        <f>(K122-G122)/G122</f>
        <v>0.45707311320754707</v>
      </c>
      <c r="M122" s="28"/>
      <c r="N122" s="29"/>
      <c r="O122" s="30" t="s">
        <v>192</v>
      </c>
      <c r="P122" s="62">
        <v>2</v>
      </c>
    </row>
    <row r="123" spans="1:16" x14ac:dyDescent="0.2">
      <c r="A123" s="20" t="s">
        <v>232</v>
      </c>
      <c r="B123" s="20" t="s">
        <v>148</v>
      </c>
      <c r="C123" s="21">
        <v>44270</v>
      </c>
      <c r="D123" s="20">
        <v>75</v>
      </c>
      <c r="E123" s="22">
        <v>1.49</v>
      </c>
      <c r="F123" s="23">
        <v>2.19</v>
      </c>
      <c r="G123" s="24">
        <f t="shared" si="37"/>
        <v>110.23489932885906</v>
      </c>
      <c r="H123" s="46">
        <f>'[1]auto data'!V17</f>
        <v>2.75</v>
      </c>
      <c r="I123" s="20">
        <v>0</v>
      </c>
      <c r="J123" s="22">
        <f>C160</f>
        <v>1.4652014652014651</v>
      </c>
      <c r="K123" s="24">
        <f t="shared" ref="K123:K133" si="38">((H123+I123)/J123)*D123</f>
        <v>140.765625</v>
      </c>
      <c r="L123" s="27">
        <f t="shared" ref="L123:L133" si="39">(K123-G123)/G123</f>
        <v>0.27696061643835618</v>
      </c>
      <c r="M123" s="28"/>
      <c r="N123" s="29"/>
      <c r="O123" s="30" t="s">
        <v>197</v>
      </c>
      <c r="P123" s="62">
        <v>10</v>
      </c>
    </row>
    <row r="124" spans="1:16" x14ac:dyDescent="0.2">
      <c r="A124" s="20" t="s">
        <v>233</v>
      </c>
      <c r="B124" s="20" t="s">
        <v>148</v>
      </c>
      <c r="C124" s="21">
        <v>44707</v>
      </c>
      <c r="D124" s="20">
        <v>10</v>
      </c>
      <c r="E124" s="22">
        <v>1.371</v>
      </c>
      <c r="F124" s="23">
        <v>2.92</v>
      </c>
      <c r="G124" s="24">
        <f t="shared" si="37"/>
        <v>21.298322392414295</v>
      </c>
      <c r="H124" s="46">
        <f>'[1]auto data'!V17</f>
        <v>2.75</v>
      </c>
      <c r="I124" s="20">
        <v>0</v>
      </c>
      <c r="J124" s="22">
        <f>C160</f>
        <v>1.4652014652014651</v>
      </c>
      <c r="K124" s="24">
        <f>((H124+I124)/J124)*D124</f>
        <v>18.768750000000001</v>
      </c>
      <c r="L124" s="27">
        <f t="shared" si="39"/>
        <v>-0.1187686215753424</v>
      </c>
      <c r="M124" s="28"/>
      <c r="N124" s="29"/>
      <c r="O124" s="30" t="s">
        <v>197</v>
      </c>
      <c r="P124" s="62" t="s">
        <v>234</v>
      </c>
    </row>
    <row r="125" spans="1:16" x14ac:dyDescent="0.2">
      <c r="A125" s="20" t="s">
        <v>235</v>
      </c>
      <c r="B125" s="20" t="s">
        <v>144</v>
      </c>
      <c r="C125" s="21">
        <v>44278</v>
      </c>
      <c r="D125" s="20">
        <v>50</v>
      </c>
      <c r="E125" s="22">
        <v>1.1825000000000001</v>
      </c>
      <c r="F125" s="23">
        <v>4.8099999999999996</v>
      </c>
      <c r="G125" s="24">
        <f t="shared" si="37"/>
        <v>203.38266384778009</v>
      </c>
      <c r="H125" s="46">
        <f>'[1]auto data'!P12</f>
        <v>5.41</v>
      </c>
      <c r="I125" s="20">
        <v>0</v>
      </c>
      <c r="J125" s="22">
        <f>C159</f>
        <v>1.0670081092616304</v>
      </c>
      <c r="K125" s="24">
        <f t="shared" si="38"/>
        <v>253.51259999999999</v>
      </c>
      <c r="L125" s="27">
        <f t="shared" si="39"/>
        <v>0.24648087110187125</v>
      </c>
      <c r="M125" s="28"/>
      <c r="N125" s="29"/>
      <c r="O125" s="30" t="s">
        <v>197</v>
      </c>
      <c r="P125" s="62">
        <v>11</v>
      </c>
    </row>
    <row r="126" spans="1:16" x14ac:dyDescent="0.2">
      <c r="A126" s="20" t="s">
        <v>236</v>
      </c>
      <c r="B126" s="20" t="s">
        <v>144</v>
      </c>
      <c r="C126" s="21">
        <v>44550</v>
      </c>
      <c r="D126" s="20">
        <v>41</v>
      </c>
      <c r="E126" s="22">
        <v>1.1258999999999999</v>
      </c>
      <c r="F126" s="23">
        <v>6.4950000000000001</v>
      </c>
      <c r="G126" s="24">
        <f t="shared" si="37"/>
        <v>236.51745270450309</v>
      </c>
      <c r="H126" s="46">
        <f>'[1]auto data'!P12</f>
        <v>5.41</v>
      </c>
      <c r="I126" s="20">
        <v>0</v>
      </c>
      <c r="J126" s="22">
        <f>C159</f>
        <v>1.0670081092616304</v>
      </c>
      <c r="K126" s="24">
        <f>((H126+I126)/J126)*D126</f>
        <v>207.88033200000001</v>
      </c>
      <c r="L126" s="27">
        <f t="shared" si="39"/>
        <v>-0.12107825607390305</v>
      </c>
      <c r="M126" s="28"/>
      <c r="N126" s="29"/>
      <c r="O126" s="30" t="s">
        <v>197</v>
      </c>
      <c r="P126" s="73" t="s">
        <v>237</v>
      </c>
    </row>
    <row r="127" spans="1:16" x14ac:dyDescent="0.2">
      <c r="A127" s="20" t="s">
        <v>238</v>
      </c>
      <c r="B127" s="20" t="s">
        <v>144</v>
      </c>
      <c r="C127" s="21">
        <v>44699</v>
      </c>
      <c r="D127" s="20">
        <v>14</v>
      </c>
      <c r="E127" s="22">
        <v>1.0485</v>
      </c>
      <c r="F127" s="23">
        <v>5.86</v>
      </c>
      <c r="G127" s="24">
        <f t="shared" si="37"/>
        <v>78.245112064854567</v>
      </c>
      <c r="H127" s="46">
        <f>'[1]auto data'!P12</f>
        <v>5.41</v>
      </c>
      <c r="I127" s="20">
        <v>0</v>
      </c>
      <c r="J127" s="22">
        <f>C159</f>
        <v>1.0670081092616304</v>
      </c>
      <c r="K127" s="24">
        <f>((H127+I127)/J127)*D127</f>
        <v>70.983528000000007</v>
      </c>
      <c r="L127" s="27">
        <f t="shared" si="39"/>
        <v>-9.2805593515358428E-2</v>
      </c>
      <c r="M127" s="28"/>
      <c r="N127" s="29"/>
      <c r="O127" s="30" t="s">
        <v>197</v>
      </c>
      <c r="P127" s="73" t="s">
        <v>239</v>
      </c>
    </row>
    <row r="128" spans="1:16" x14ac:dyDescent="0.2">
      <c r="A128" s="20" t="s">
        <v>240</v>
      </c>
      <c r="B128" s="20" t="s">
        <v>241</v>
      </c>
      <c r="C128" s="21">
        <v>44253</v>
      </c>
      <c r="D128" s="20">
        <v>200</v>
      </c>
      <c r="E128" s="22">
        <v>1.52</v>
      </c>
      <c r="F128" s="23">
        <v>1.05</v>
      </c>
      <c r="G128" s="24">
        <f t="shared" si="37"/>
        <v>138.15789473684211</v>
      </c>
      <c r="H128" s="46">
        <f>'[1]auto data'!V18</f>
        <v>1.03</v>
      </c>
      <c r="I128" s="20">
        <v>0</v>
      </c>
      <c r="J128" s="22">
        <f>C159</f>
        <v>1.0670081092616304</v>
      </c>
      <c r="K128" s="24">
        <f t="shared" si="38"/>
        <v>193.06320000000002</v>
      </c>
      <c r="L128" s="27">
        <f t="shared" si="39"/>
        <v>0.3974098285714287</v>
      </c>
      <c r="M128" s="28"/>
      <c r="N128" s="74"/>
      <c r="O128" s="30" t="s">
        <v>197</v>
      </c>
      <c r="P128" s="62">
        <v>12</v>
      </c>
    </row>
    <row r="129" spans="1:16" x14ac:dyDescent="0.2">
      <c r="A129" s="20" t="s">
        <v>242</v>
      </c>
      <c r="B129" s="20" t="s">
        <v>241</v>
      </c>
      <c r="C129" s="21">
        <v>44582</v>
      </c>
      <c r="D129" s="20">
        <v>100</v>
      </c>
      <c r="E129" s="22">
        <v>1.1346000000000001</v>
      </c>
      <c r="F129" s="23">
        <v>1.2</v>
      </c>
      <c r="G129" s="24">
        <f t="shared" si="37"/>
        <v>105.76414595452141</v>
      </c>
      <c r="H129" s="46">
        <f>'[1]auto data'!V18</f>
        <v>1.03</v>
      </c>
      <c r="I129" s="20">
        <v>0</v>
      </c>
      <c r="J129" s="22">
        <f>C159</f>
        <v>1.0670081092616304</v>
      </c>
      <c r="K129" s="24">
        <f t="shared" si="38"/>
        <v>96.531600000000012</v>
      </c>
      <c r="L129" s="27">
        <f t="shared" si="39"/>
        <v>-8.7293721999999838E-2</v>
      </c>
      <c r="M129" s="28"/>
      <c r="N129" s="29"/>
      <c r="O129" s="30" t="s">
        <v>197</v>
      </c>
      <c r="P129" s="62" t="s">
        <v>243</v>
      </c>
    </row>
    <row r="130" spans="1:16" x14ac:dyDescent="0.2">
      <c r="A130" s="20" t="s">
        <v>244</v>
      </c>
      <c r="B130" s="20" t="s">
        <v>245</v>
      </c>
      <c r="C130" s="21">
        <v>44350</v>
      </c>
      <c r="D130" s="20">
        <v>187</v>
      </c>
      <c r="E130" s="22">
        <v>1.57</v>
      </c>
      <c r="F130" s="23">
        <v>1.4</v>
      </c>
      <c r="G130" s="24">
        <f t="shared" si="37"/>
        <v>166.75159235668789</v>
      </c>
      <c r="H130" s="46">
        <f>'[1]auto data'!V19</f>
        <v>2.0699999999999998</v>
      </c>
      <c r="I130" s="20">
        <v>0</v>
      </c>
      <c r="J130" s="22">
        <f>C161</f>
        <v>1.5936254980079683</v>
      </c>
      <c r="K130" s="24">
        <f t="shared" si="38"/>
        <v>242.89897499999998</v>
      </c>
      <c r="L130" s="27">
        <f t="shared" si="39"/>
        <v>0.45665160714285707</v>
      </c>
      <c r="M130" s="28"/>
      <c r="N130" s="29"/>
      <c r="O130" s="30" t="s">
        <v>197</v>
      </c>
      <c r="P130" s="62">
        <v>13</v>
      </c>
    </row>
    <row r="131" spans="1:16" x14ac:dyDescent="0.2">
      <c r="A131" s="75" t="s">
        <v>246</v>
      </c>
      <c r="B131" s="20" t="s">
        <v>247</v>
      </c>
      <c r="C131" s="21">
        <v>44054</v>
      </c>
      <c r="D131" s="20">
        <v>50</v>
      </c>
      <c r="E131" s="22">
        <v>1.58</v>
      </c>
      <c r="F131" s="23">
        <v>3.64</v>
      </c>
      <c r="G131" s="24">
        <f t="shared" si="37"/>
        <v>115.18987341772151</v>
      </c>
      <c r="H131" s="25">
        <f>'[1]auto data'!V20</f>
        <v>4.8</v>
      </c>
      <c r="I131" s="20">
        <v>0</v>
      </c>
      <c r="J131" s="22">
        <f>C160</f>
        <v>1.4652014652014651</v>
      </c>
      <c r="K131" s="24">
        <f t="shared" si="38"/>
        <v>163.80000000000001</v>
      </c>
      <c r="L131" s="27">
        <f t="shared" si="39"/>
        <v>0.42200000000000015</v>
      </c>
      <c r="M131" s="28"/>
      <c r="N131" s="29"/>
      <c r="O131" s="30" t="s">
        <v>192</v>
      </c>
      <c r="P131" s="76">
        <v>3</v>
      </c>
    </row>
    <row r="132" spans="1:16" x14ac:dyDescent="0.2">
      <c r="A132" s="20" t="s">
        <v>248</v>
      </c>
      <c r="B132" s="20" t="s">
        <v>39</v>
      </c>
      <c r="C132" s="21">
        <v>44806</v>
      </c>
      <c r="D132" s="20">
        <v>15</v>
      </c>
      <c r="E132" s="22">
        <v>0.99550000000000005</v>
      </c>
      <c r="F132" s="23">
        <v>3.99</v>
      </c>
      <c r="G132" s="24">
        <f t="shared" si="37"/>
        <v>60.12054244098443</v>
      </c>
      <c r="H132" s="36">
        <f>'[1]auto data'!J10</f>
        <v>5.18</v>
      </c>
      <c r="I132" s="20">
        <v>0</v>
      </c>
      <c r="J132" s="22">
        <f>C159</f>
        <v>1.0670081092616304</v>
      </c>
      <c r="K132" s="24">
        <f t="shared" si="38"/>
        <v>72.820439999999991</v>
      </c>
      <c r="L132" s="27">
        <f t="shared" si="39"/>
        <v>0.21124056842105249</v>
      </c>
      <c r="M132" s="28"/>
      <c r="N132" s="29"/>
      <c r="O132" s="30" t="s">
        <v>249</v>
      </c>
      <c r="P132" s="62" t="s">
        <v>249</v>
      </c>
    </row>
    <row r="133" spans="1:16" x14ac:dyDescent="0.2">
      <c r="A133" s="20" t="s">
        <v>250</v>
      </c>
      <c r="B133" s="20" t="s">
        <v>26</v>
      </c>
      <c r="C133" s="21">
        <v>44820</v>
      </c>
      <c r="D133" s="20">
        <v>25</v>
      </c>
      <c r="E133" s="22">
        <v>1.3298000000000001</v>
      </c>
      <c r="F133" s="23">
        <v>3.03</v>
      </c>
      <c r="G133" s="24">
        <f t="shared" si="37"/>
        <v>56.963453150849745</v>
      </c>
      <c r="H133" s="25">
        <f>'[1]auto data'!J5</f>
        <v>3.54</v>
      </c>
      <c r="I133" s="37">
        <f>I132</f>
        <v>0</v>
      </c>
      <c r="J133" s="22">
        <f>C160</f>
        <v>1.4652014652014651</v>
      </c>
      <c r="K133" s="24">
        <f t="shared" si="38"/>
        <v>60.401250000000005</v>
      </c>
      <c r="L133" s="27">
        <f t="shared" si="39"/>
        <v>6.0350920792079425E-2</v>
      </c>
      <c r="M133" s="28"/>
      <c r="N133" s="29"/>
      <c r="O133" s="30" t="s">
        <v>249</v>
      </c>
      <c r="P133" s="62" t="s">
        <v>249</v>
      </c>
    </row>
    <row r="134" spans="1:16" x14ac:dyDescent="0.2">
      <c r="A134" s="20" t="s">
        <v>251</v>
      </c>
      <c r="B134" s="20" t="s">
        <v>252</v>
      </c>
      <c r="C134" s="21">
        <v>44879</v>
      </c>
      <c r="D134" s="20">
        <v>100</v>
      </c>
      <c r="E134" s="22">
        <v>1.3754999999999999</v>
      </c>
      <c r="F134" s="23">
        <v>0.3</v>
      </c>
      <c r="G134" s="24">
        <f t="shared" si="37"/>
        <v>21.810250817884405</v>
      </c>
      <c r="H134" s="36">
        <f>'[1]auto data'!V21</f>
        <v>0.19500000000000001</v>
      </c>
      <c r="I134" s="37">
        <v>0</v>
      </c>
      <c r="J134" s="22">
        <f>C160</f>
        <v>1.4652014652014651</v>
      </c>
      <c r="K134" s="24">
        <f>((H134+I134)/J134)*D134</f>
        <v>13.308750000000003</v>
      </c>
      <c r="L134" s="27">
        <f>(K134-G134)/G134+1</f>
        <v>0.61020618750000022</v>
      </c>
      <c r="M134" s="28"/>
      <c r="N134" s="29"/>
      <c r="O134" s="30" t="s">
        <v>249</v>
      </c>
      <c r="P134" s="62" t="s">
        <v>249</v>
      </c>
    </row>
    <row r="135" spans="1:16" x14ac:dyDescent="0.2">
      <c r="A135" s="75"/>
      <c r="B135" s="77"/>
      <c r="C135" s="78"/>
      <c r="D135" s="77"/>
      <c r="E135" s="79"/>
      <c r="F135" s="80"/>
      <c r="G135" s="81"/>
      <c r="H135" s="82"/>
      <c r="I135" s="83"/>
      <c r="J135" s="79"/>
      <c r="K135" s="81"/>
      <c r="L135" s="84"/>
      <c r="M135" s="85"/>
      <c r="N135" s="74"/>
      <c r="O135" s="86"/>
      <c r="P135" s="76"/>
    </row>
    <row r="136" spans="1:16" x14ac:dyDescent="0.2">
      <c r="A136" s="87" t="s">
        <v>253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9"/>
    </row>
    <row r="137" spans="1:16" x14ac:dyDescent="0.2">
      <c r="A137" s="90" t="s">
        <v>254</v>
      </c>
      <c r="B137" s="13" t="s">
        <v>255</v>
      </c>
      <c r="C137" s="14" t="s">
        <v>256</v>
      </c>
      <c r="D137" s="13"/>
      <c r="E137" s="91"/>
      <c r="F137" s="92"/>
      <c r="G137" s="93"/>
      <c r="H137" s="94"/>
      <c r="I137" s="13"/>
      <c r="J137" s="91"/>
      <c r="K137" s="93" t="s">
        <v>257</v>
      </c>
      <c r="L137" s="27"/>
      <c r="M137" s="28"/>
      <c r="N137" s="29"/>
      <c r="O137" s="30"/>
      <c r="P137" s="62"/>
    </row>
    <row r="138" spans="1:16" x14ac:dyDescent="0.2">
      <c r="A138" s="13" t="s">
        <v>258</v>
      </c>
      <c r="B138" s="20"/>
      <c r="C138" s="21"/>
      <c r="D138" s="63"/>
      <c r="E138" s="64"/>
      <c r="F138" s="20"/>
      <c r="G138" s="37"/>
      <c r="H138" s="26"/>
      <c r="I138" s="65"/>
      <c r="J138" s="64"/>
      <c r="K138" s="24">
        <v>8467</v>
      </c>
      <c r="L138" s="95"/>
      <c r="M138" s="62"/>
      <c r="N138" s="29"/>
      <c r="O138" s="30"/>
      <c r="P138" s="62"/>
    </row>
    <row r="139" spans="1:16" x14ac:dyDescent="0.2">
      <c r="A139" s="13" t="s">
        <v>259</v>
      </c>
      <c r="B139" s="20"/>
      <c r="C139" s="21"/>
      <c r="D139" s="63"/>
      <c r="E139" s="64"/>
      <c r="F139" s="20"/>
      <c r="G139" s="37"/>
      <c r="H139" s="26"/>
      <c r="I139" s="65"/>
      <c r="J139" s="64"/>
      <c r="K139" s="24">
        <v>19016</v>
      </c>
      <c r="L139" s="95"/>
      <c r="M139" s="62"/>
      <c r="N139" s="29"/>
      <c r="O139" s="30"/>
      <c r="P139" s="62"/>
    </row>
    <row r="140" spans="1:16" x14ac:dyDescent="0.2">
      <c r="A140" s="13" t="s">
        <v>260</v>
      </c>
      <c r="B140" s="20"/>
      <c r="C140" s="21"/>
      <c r="D140" s="20"/>
      <c r="E140" s="22"/>
      <c r="F140" s="23"/>
      <c r="G140" s="24"/>
      <c r="H140" s="96"/>
      <c r="I140" s="26"/>
      <c r="J140" s="22"/>
      <c r="K140" s="24">
        <v>5600</v>
      </c>
      <c r="L140" s="27"/>
      <c r="M140" s="28"/>
      <c r="N140" s="29"/>
      <c r="O140" s="30"/>
      <c r="P140" s="34"/>
    </row>
    <row r="141" spans="1:16" x14ac:dyDescent="0.2">
      <c r="A141" s="13" t="s">
        <v>261</v>
      </c>
      <c r="B141" s="20"/>
      <c r="C141" s="21"/>
      <c r="D141" s="20"/>
      <c r="E141" s="22"/>
      <c r="F141" s="23"/>
      <c r="G141" s="24"/>
      <c r="H141" s="96"/>
      <c r="I141" s="26"/>
      <c r="J141" s="22"/>
      <c r="K141" s="97">
        <v>1583</v>
      </c>
      <c r="L141" s="27"/>
      <c r="M141" s="28"/>
      <c r="N141" s="29"/>
      <c r="O141" s="30"/>
      <c r="P141" s="34"/>
    </row>
    <row r="142" spans="1:16" x14ac:dyDescent="0.2">
      <c r="A142" s="13" t="s">
        <v>262</v>
      </c>
      <c r="B142" s="20"/>
      <c r="C142" s="21"/>
      <c r="D142" s="20"/>
      <c r="E142" s="22"/>
      <c r="F142" s="23"/>
      <c r="G142" s="24"/>
      <c r="H142" s="96"/>
      <c r="I142" s="26"/>
      <c r="J142" s="22"/>
      <c r="K142" s="97">
        <v>1061</v>
      </c>
      <c r="L142" s="27"/>
      <c r="M142" s="28"/>
      <c r="N142" s="29"/>
      <c r="O142" s="30"/>
      <c r="P142" s="34"/>
    </row>
    <row r="143" spans="1:16" x14ac:dyDescent="0.2">
      <c r="A143" s="87" t="s">
        <v>263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98"/>
      <c r="O143" s="99"/>
      <c r="P143" s="100"/>
    </row>
    <row r="144" spans="1:16" x14ac:dyDescent="0.2">
      <c r="A144" s="13" t="s">
        <v>2</v>
      </c>
      <c r="B144" s="13" t="s">
        <v>3</v>
      </c>
      <c r="C144" s="14" t="s">
        <v>264</v>
      </c>
      <c r="D144" s="13" t="s">
        <v>5</v>
      </c>
      <c r="E144" s="15" t="s">
        <v>265</v>
      </c>
      <c r="F144" s="13" t="s">
        <v>266</v>
      </c>
      <c r="G144" s="13" t="s">
        <v>267</v>
      </c>
      <c r="H144" s="13" t="s">
        <v>9</v>
      </c>
      <c r="I144" s="13" t="s">
        <v>10</v>
      </c>
      <c r="J144" s="15" t="s">
        <v>11</v>
      </c>
      <c r="K144" s="13" t="s">
        <v>12</v>
      </c>
      <c r="L144" s="13" t="s">
        <v>13</v>
      </c>
      <c r="M144" s="17" t="s">
        <v>14</v>
      </c>
      <c r="N144" s="18"/>
      <c r="O144" s="101"/>
      <c r="P144" s="17"/>
    </row>
    <row r="145" spans="1:16" x14ac:dyDescent="0.2">
      <c r="A145" s="32" t="s">
        <v>268</v>
      </c>
      <c r="B145" s="20" t="s">
        <v>269</v>
      </c>
      <c r="C145" s="21">
        <v>44865</v>
      </c>
      <c r="D145" s="20">
        <v>-10</v>
      </c>
      <c r="E145" s="22">
        <v>1.08</v>
      </c>
      <c r="F145" s="23">
        <v>137.66</v>
      </c>
      <c r="G145" s="24">
        <f>(D145*F145)/E145</f>
        <v>-1274.6296296296296</v>
      </c>
      <c r="H145" s="36">
        <f>'[1]auto data'!C12</f>
        <v>155</v>
      </c>
      <c r="I145" s="26">
        <v>0</v>
      </c>
      <c r="J145" s="22">
        <f>C159</f>
        <v>1.0670081092616304</v>
      </c>
      <c r="K145" s="24">
        <f>-(D145*H145)/J145</f>
        <v>1452.66</v>
      </c>
      <c r="L145" s="33">
        <f>M145/(-G145)</f>
        <v>-0.13967223594362935</v>
      </c>
      <c r="M145" s="28">
        <f>-G145-K145</f>
        <v>-178.03037037037052</v>
      </c>
      <c r="N145" s="19"/>
      <c r="O145" s="19"/>
      <c r="P145" s="19"/>
    </row>
    <row r="146" spans="1:16" x14ac:dyDescent="0.2">
      <c r="A146" s="32" t="s">
        <v>270</v>
      </c>
      <c r="B146" s="20" t="s">
        <v>271</v>
      </c>
      <c r="C146" s="21">
        <v>44957</v>
      </c>
      <c r="D146" s="20">
        <v>-5</v>
      </c>
      <c r="E146" s="22">
        <v>1.0864</v>
      </c>
      <c r="F146" s="23">
        <v>2.67</v>
      </c>
      <c r="G146" s="24">
        <f t="shared" ref="G146:G157" si="40">(D146*F146)/E146*100</f>
        <v>-1228.8291605301915</v>
      </c>
      <c r="H146" s="96">
        <v>2.97</v>
      </c>
      <c r="I146" s="26">
        <v>0</v>
      </c>
      <c r="J146" s="22">
        <f>C159</f>
        <v>1.0670081092616304</v>
      </c>
      <c r="K146" s="24">
        <f>-(D146*H146)/J146*100</f>
        <v>1391.7420000000002</v>
      </c>
      <c r="L146" s="33">
        <f>M146/(-G146)</f>
        <v>-0.13257566202247201</v>
      </c>
      <c r="M146" s="28">
        <f>-(G146+K146)</f>
        <v>-162.91283946980866</v>
      </c>
      <c r="N146" s="19"/>
      <c r="O146" s="19"/>
      <c r="P146" s="19"/>
    </row>
    <row r="147" spans="1:16" x14ac:dyDescent="0.2">
      <c r="A147" s="20" t="s">
        <v>272</v>
      </c>
      <c r="B147" s="20" t="s">
        <v>271</v>
      </c>
      <c r="C147" s="21">
        <v>44958</v>
      </c>
      <c r="D147" s="20">
        <v>-3</v>
      </c>
      <c r="E147" s="22">
        <v>1.0864</v>
      </c>
      <c r="F147" s="23">
        <v>2.56</v>
      </c>
      <c r="G147" s="24">
        <f t="shared" si="40"/>
        <v>-706.92194403534609</v>
      </c>
      <c r="H147" s="36">
        <v>2.36</v>
      </c>
      <c r="I147" s="26">
        <v>0</v>
      </c>
      <c r="J147" s="22">
        <f>C159</f>
        <v>1.0670081092616304</v>
      </c>
      <c r="K147" s="24">
        <f>-(D147*H147)/J147*100</f>
        <v>663.5376</v>
      </c>
      <c r="L147" s="27">
        <f>M147/(-G147)</f>
        <v>6.1370769999999991E-2</v>
      </c>
      <c r="M147" s="28">
        <f>-(G147+K147)</f>
        <v>43.384344035346089</v>
      </c>
      <c r="N147" s="19"/>
      <c r="O147" s="19"/>
      <c r="P147" s="102" t="s">
        <v>273</v>
      </c>
    </row>
    <row r="148" spans="1:16" x14ac:dyDescent="0.2">
      <c r="A148" s="20" t="s">
        <v>274</v>
      </c>
      <c r="B148" s="20" t="s">
        <v>271</v>
      </c>
      <c r="C148" s="21">
        <v>44978</v>
      </c>
      <c r="D148" s="20">
        <v>2</v>
      </c>
      <c r="E148" s="22">
        <v>1.0644</v>
      </c>
      <c r="F148" s="23">
        <v>0.79</v>
      </c>
      <c r="G148" s="24">
        <f t="shared" si="40"/>
        <v>148.4404359263435</v>
      </c>
      <c r="H148" s="36">
        <v>1.63</v>
      </c>
      <c r="I148" s="26">
        <v>0</v>
      </c>
      <c r="J148" s="22">
        <f>C159</f>
        <v>1.0670081092616304</v>
      </c>
      <c r="K148" s="24">
        <f t="shared" ref="K148:K157" si="41">(D148*H148)/J148*100</f>
        <v>305.52719999999999</v>
      </c>
      <c r="L148" s="27">
        <f t="shared" ref="L148:L157" si="42">M148/(G148)</f>
        <v>1.0582477954430376</v>
      </c>
      <c r="M148" s="28">
        <f>-(G148-K148)</f>
        <v>157.0867640736565</v>
      </c>
      <c r="N148" s="19"/>
      <c r="O148" s="19"/>
      <c r="P148" s="102" t="s">
        <v>273</v>
      </c>
    </row>
    <row r="149" spans="1:16" x14ac:dyDescent="0.2">
      <c r="A149" s="20" t="s">
        <v>274</v>
      </c>
      <c r="B149" s="20" t="s">
        <v>271</v>
      </c>
      <c r="C149" s="21">
        <v>44979</v>
      </c>
      <c r="D149" s="20">
        <v>2</v>
      </c>
      <c r="E149" s="22">
        <v>1.0644</v>
      </c>
      <c r="F149" s="23">
        <v>0.79</v>
      </c>
      <c r="G149" s="24">
        <f t="shared" si="40"/>
        <v>148.4404359263435</v>
      </c>
      <c r="H149" s="36">
        <v>1.4</v>
      </c>
      <c r="I149" s="26">
        <v>0</v>
      </c>
      <c r="J149" s="22">
        <f>C159</f>
        <v>1.0670081092616304</v>
      </c>
      <c r="K149" s="24">
        <f t="shared" si="41"/>
        <v>262.416</v>
      </c>
      <c r="L149" s="27">
        <f t="shared" si="42"/>
        <v>0.76782019240506305</v>
      </c>
      <c r="M149" s="28">
        <f>-(G149-K149)</f>
        <v>113.9755640736565</v>
      </c>
      <c r="N149" s="19"/>
      <c r="O149" s="19"/>
      <c r="P149" s="102" t="s">
        <v>273</v>
      </c>
    </row>
    <row r="150" spans="1:16" x14ac:dyDescent="0.2">
      <c r="A150" s="32" t="s">
        <v>275</v>
      </c>
      <c r="B150" s="20" t="s">
        <v>50</v>
      </c>
      <c r="C150" s="21">
        <v>44985</v>
      </c>
      <c r="D150" s="20">
        <v>2</v>
      </c>
      <c r="E150" s="22">
        <v>1.0586</v>
      </c>
      <c r="F150" s="23">
        <v>0.46</v>
      </c>
      <c r="G150" s="24">
        <f t="shared" si="40"/>
        <v>86.907235972038549</v>
      </c>
      <c r="H150" s="96">
        <v>1.1100000000000001</v>
      </c>
      <c r="I150" s="26">
        <v>0</v>
      </c>
      <c r="J150" s="22">
        <f>C159</f>
        <v>1.0670081092616304</v>
      </c>
      <c r="K150" s="24">
        <f t="shared" si="41"/>
        <v>208.05840000000003</v>
      </c>
      <c r="L150" s="27">
        <f t="shared" si="42"/>
        <v>1.3940285026086958</v>
      </c>
      <c r="M150" s="28">
        <f>-(G150-K150)</f>
        <v>121.15116402796149</v>
      </c>
      <c r="N150" s="19"/>
      <c r="O150" s="19"/>
      <c r="P150" s="102"/>
    </row>
    <row r="151" spans="1:16" x14ac:dyDescent="0.2">
      <c r="A151" s="20" t="s">
        <v>275</v>
      </c>
      <c r="B151" s="20" t="s">
        <v>50</v>
      </c>
      <c r="C151" s="21">
        <v>44998</v>
      </c>
      <c r="D151" s="20">
        <v>2</v>
      </c>
      <c r="E151" s="22">
        <v>1.0586</v>
      </c>
      <c r="F151" s="23">
        <v>0.46</v>
      </c>
      <c r="G151" s="24">
        <f t="shared" si="40"/>
        <v>86.907235972038549</v>
      </c>
      <c r="H151" s="36">
        <v>0.83</v>
      </c>
      <c r="I151" s="26">
        <v>0</v>
      </c>
      <c r="J151" s="22">
        <f>C159</f>
        <v>1.0670081092616304</v>
      </c>
      <c r="K151" s="24">
        <f t="shared" si="41"/>
        <v>155.5752</v>
      </c>
      <c r="L151" s="27">
        <f t="shared" si="42"/>
        <v>0.79012942086956506</v>
      </c>
      <c r="M151" s="28">
        <f>-(G151-K151)</f>
        <v>68.667964027961446</v>
      </c>
      <c r="N151" s="19"/>
      <c r="O151" s="19"/>
      <c r="P151" s="102" t="s">
        <v>273</v>
      </c>
    </row>
    <row r="152" spans="1:16" x14ac:dyDescent="0.2">
      <c r="A152" s="32" t="s">
        <v>276</v>
      </c>
      <c r="B152" s="20" t="s">
        <v>46</v>
      </c>
      <c r="C152" s="21">
        <v>44986</v>
      </c>
      <c r="D152" s="20">
        <v>1</v>
      </c>
      <c r="E152" s="22">
        <v>1.0586</v>
      </c>
      <c r="F152" s="23">
        <v>0.78</v>
      </c>
      <c r="G152" s="24">
        <f t="shared" si="40"/>
        <v>73.682221802380511</v>
      </c>
      <c r="H152" s="96">
        <v>0.85</v>
      </c>
      <c r="I152" s="26">
        <v>0</v>
      </c>
      <c r="J152" s="22">
        <f>C159</f>
        <v>1.0670081092616304</v>
      </c>
      <c r="K152" s="24">
        <f t="shared" si="41"/>
        <v>79.662000000000006</v>
      </c>
      <c r="L152" s="27">
        <f t="shared" si="42"/>
        <v>8.115632307692304E-2</v>
      </c>
      <c r="M152" s="28">
        <f>-(G152-K152)</f>
        <v>5.9797781976194955</v>
      </c>
      <c r="N152" s="19"/>
      <c r="O152" s="19"/>
      <c r="P152" s="102"/>
    </row>
    <row r="153" spans="1:16" x14ac:dyDescent="0.2">
      <c r="A153" s="103" t="s">
        <v>277</v>
      </c>
      <c r="B153" s="20" t="s">
        <v>50</v>
      </c>
      <c r="C153" s="21">
        <v>44993</v>
      </c>
      <c r="D153" s="20">
        <v>1</v>
      </c>
      <c r="E153" s="22">
        <v>1.0636000000000001</v>
      </c>
      <c r="F153" s="23">
        <v>2.06</v>
      </c>
      <c r="G153" s="24">
        <f t="shared" si="40"/>
        <v>193.68183527641969</v>
      </c>
      <c r="H153" s="96">
        <v>1.69</v>
      </c>
      <c r="I153" s="26">
        <v>0</v>
      </c>
      <c r="J153" s="22">
        <f>C159</f>
        <v>1.0670081092616304</v>
      </c>
      <c r="K153" s="24">
        <f t="shared" si="41"/>
        <v>158.38679999999999</v>
      </c>
      <c r="L153" s="27">
        <f t="shared" si="42"/>
        <v>0.18223203650485434</v>
      </c>
      <c r="M153" s="28">
        <f>(G153-K153)</f>
        <v>35.295035276419696</v>
      </c>
      <c r="N153" s="19"/>
      <c r="O153" s="19"/>
      <c r="P153" s="102"/>
    </row>
    <row r="154" spans="1:16" x14ac:dyDescent="0.2">
      <c r="A154" s="75" t="s">
        <v>278</v>
      </c>
      <c r="B154" s="20" t="s">
        <v>50</v>
      </c>
      <c r="C154" s="21">
        <v>44994</v>
      </c>
      <c r="D154" s="20">
        <v>1</v>
      </c>
      <c r="E154" s="22">
        <v>1.0636000000000001</v>
      </c>
      <c r="F154" s="23">
        <v>2.06</v>
      </c>
      <c r="G154" s="24">
        <f t="shared" si="40"/>
        <v>193.68183527641969</v>
      </c>
      <c r="H154" s="40">
        <v>1.87</v>
      </c>
      <c r="I154" s="26">
        <v>0</v>
      </c>
      <c r="J154" s="22">
        <f>C159</f>
        <v>1.0670081092616304</v>
      </c>
      <c r="K154" s="24">
        <f t="shared" si="41"/>
        <v>175.25640000000001</v>
      </c>
      <c r="L154" s="27">
        <f t="shared" si="42"/>
        <v>9.5132490097087227E-2</v>
      </c>
      <c r="M154" s="28">
        <f>(G154-K154)</f>
        <v>18.425435276419677</v>
      </c>
      <c r="N154" s="19"/>
      <c r="O154" s="19"/>
      <c r="P154" s="102" t="s">
        <v>273</v>
      </c>
    </row>
    <row r="155" spans="1:16" x14ac:dyDescent="0.2">
      <c r="A155" s="103" t="s">
        <v>279</v>
      </c>
      <c r="B155" s="20" t="s">
        <v>211</v>
      </c>
      <c r="C155" s="21">
        <v>44988</v>
      </c>
      <c r="D155" s="20">
        <v>3</v>
      </c>
      <c r="E155" s="22">
        <v>1.0636000000000001</v>
      </c>
      <c r="F155" s="23">
        <v>1.35</v>
      </c>
      <c r="G155" s="24">
        <f t="shared" si="40"/>
        <v>380.78224896577666</v>
      </c>
      <c r="H155" s="96">
        <v>1.5</v>
      </c>
      <c r="I155" s="26">
        <v>0</v>
      </c>
      <c r="J155" s="22">
        <f>C159</f>
        <v>1.0670081092616304</v>
      </c>
      <c r="K155" s="24">
        <f t="shared" si="41"/>
        <v>421.74000000000007</v>
      </c>
      <c r="L155" s="33">
        <f t="shared" si="42"/>
        <v>-0.10756213333333335</v>
      </c>
      <c r="M155" s="28">
        <f>(G155-K155)</f>
        <v>-40.957751034223406</v>
      </c>
      <c r="N155" s="19"/>
      <c r="O155" s="19"/>
      <c r="P155" s="102"/>
    </row>
    <row r="156" spans="1:16" x14ac:dyDescent="0.2">
      <c r="A156" s="103" t="s">
        <v>280</v>
      </c>
      <c r="B156" s="20" t="s">
        <v>144</v>
      </c>
      <c r="C156" s="21">
        <v>44989</v>
      </c>
      <c r="D156" s="20">
        <v>2</v>
      </c>
      <c r="E156" s="22">
        <v>1.0636000000000001</v>
      </c>
      <c r="F156" s="23">
        <v>2.4500000000000002</v>
      </c>
      <c r="G156" s="24">
        <f t="shared" si="40"/>
        <v>460.69951109439637</v>
      </c>
      <c r="H156" s="96">
        <v>2.65</v>
      </c>
      <c r="I156" s="26">
        <v>0</v>
      </c>
      <c r="J156" s="22">
        <f>C159</f>
        <v>1.0670081092616304</v>
      </c>
      <c r="K156" s="24">
        <f t="shared" si="41"/>
        <v>496.71600000000001</v>
      </c>
      <c r="L156" s="33">
        <f t="shared" si="42"/>
        <v>-7.8177831836734754E-2</v>
      </c>
      <c r="M156" s="28">
        <f>(G156-K156)</f>
        <v>-36.016488905603637</v>
      </c>
      <c r="N156" s="19"/>
      <c r="O156" s="19"/>
      <c r="P156" s="102"/>
    </row>
    <row r="157" spans="1:16" x14ac:dyDescent="0.2">
      <c r="A157" s="103" t="s">
        <v>281</v>
      </c>
      <c r="B157" s="77" t="s">
        <v>282</v>
      </c>
      <c r="C157" s="21">
        <v>44998</v>
      </c>
      <c r="D157" s="20">
        <v>1</v>
      </c>
      <c r="E157" s="22">
        <v>1.0741000000000001</v>
      </c>
      <c r="F157" s="23">
        <v>3.45</v>
      </c>
      <c r="G157" s="24">
        <f t="shared" si="40"/>
        <v>321.19914346895075</v>
      </c>
      <c r="H157" s="96">
        <v>4.26</v>
      </c>
      <c r="I157" s="26">
        <v>0</v>
      </c>
      <c r="J157" s="22">
        <f>C159</f>
        <v>1.0670081092616304</v>
      </c>
      <c r="K157" s="24">
        <f t="shared" si="41"/>
        <v>399.24719999999996</v>
      </c>
      <c r="L157" s="33">
        <f t="shared" si="42"/>
        <v>-0.24298961599999988</v>
      </c>
      <c r="M157" s="28">
        <f>(G157-K157)</f>
        <v>-78.048056531049212</v>
      </c>
      <c r="N157" s="19"/>
      <c r="O157" s="19"/>
      <c r="P157" s="102"/>
    </row>
    <row r="158" spans="1:16" x14ac:dyDescent="0.2">
      <c r="A158" s="2" t="s">
        <v>283</v>
      </c>
      <c r="B158" s="3"/>
      <c r="C158" s="3"/>
      <c r="D158" s="104"/>
      <c r="E158" s="105" t="s">
        <v>284</v>
      </c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</row>
    <row r="159" spans="1:16" x14ac:dyDescent="0.2">
      <c r="A159" s="20" t="s">
        <v>285</v>
      </c>
      <c r="B159" s="20" t="s">
        <v>286</v>
      </c>
      <c r="C159" s="106">
        <f>'[1]auto data'!D3</f>
        <v>1.0670081092616304</v>
      </c>
      <c r="D159" s="20"/>
      <c r="E159" s="107" t="s">
        <v>287</v>
      </c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9"/>
    </row>
    <row r="160" spans="1:16" x14ac:dyDescent="0.2">
      <c r="A160" s="20" t="s">
        <v>288</v>
      </c>
      <c r="B160" s="20" t="s">
        <v>289</v>
      </c>
      <c r="C160" s="106">
        <f>'[1]auto data'!D4</f>
        <v>1.4652014652014651</v>
      </c>
      <c r="D160" s="20"/>
      <c r="E160" s="110" t="s">
        <v>290</v>
      </c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2"/>
    </row>
    <row r="161" spans="1:16" x14ac:dyDescent="0.2">
      <c r="A161" s="20" t="s">
        <v>291</v>
      </c>
      <c r="B161" s="20" t="s">
        <v>292</v>
      </c>
      <c r="C161" s="106">
        <f>'[1]auto data'!D5</f>
        <v>1.5936254980079683</v>
      </c>
      <c r="D161" s="20"/>
      <c r="E161" s="113" t="s">
        <v>293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5"/>
    </row>
    <row r="162" spans="1:16" x14ac:dyDescent="0.2">
      <c r="A162" s="20" t="s">
        <v>294</v>
      </c>
      <c r="B162" s="20" t="s">
        <v>295</v>
      </c>
      <c r="C162" s="106">
        <f>'[1]auto data'!D6</f>
        <v>0.87642418930762489</v>
      </c>
      <c r="D162" s="20"/>
      <c r="E162" s="116" t="s">
        <v>296</v>
      </c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1:16" x14ac:dyDescent="0.2">
      <c r="A163" s="20"/>
      <c r="B163" s="20"/>
      <c r="C163" s="106"/>
      <c r="D163" s="20"/>
      <c r="E163" s="117" t="s">
        <v>297</v>
      </c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</row>
    <row r="164" spans="1:16" x14ac:dyDescent="0.2">
      <c r="A164" s="87" t="s">
        <v>298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9"/>
    </row>
    <row r="165" spans="1:16" x14ac:dyDescent="0.2">
      <c r="A165" s="19" t="s">
        <v>299</v>
      </c>
      <c r="B165" s="19"/>
      <c r="C165" s="19"/>
      <c r="D165" s="19"/>
      <c r="E165" s="118">
        <f>SUM(G2:G136)</f>
        <v>62028.262311011778</v>
      </c>
      <c r="F165" s="20"/>
      <c r="G165" s="119" t="s">
        <v>300</v>
      </c>
      <c r="H165" s="119"/>
      <c r="I165" s="119"/>
      <c r="J165" s="119"/>
      <c r="K165" s="120">
        <f>SUM(K2:K136)+M145+M146+M148+M150+M152</f>
        <v>55507.830102064043</v>
      </c>
      <c r="L165" s="20"/>
      <c r="M165" s="121" t="s">
        <v>301</v>
      </c>
      <c r="N165" s="122"/>
      <c r="O165" s="123"/>
      <c r="P165" s="124">
        <f>P166+M92+M88+M79+M63+M48+M27+M2</f>
        <v>54337.905866080248</v>
      </c>
    </row>
    <row r="166" spans="1:16" x14ac:dyDescent="0.2">
      <c r="A166" s="19" t="s">
        <v>302</v>
      </c>
      <c r="B166" s="19"/>
      <c r="C166" s="19"/>
      <c r="D166" s="19"/>
      <c r="E166" s="118">
        <v>25000</v>
      </c>
      <c r="F166" s="20"/>
      <c r="G166" s="125" t="s">
        <v>303</v>
      </c>
      <c r="H166" s="126"/>
      <c r="I166" s="126"/>
      <c r="J166" s="127"/>
      <c r="K166" s="128">
        <f>K165-E165</f>
        <v>-6520.4322089477355</v>
      </c>
      <c r="L166" s="20"/>
      <c r="M166" s="121" t="s">
        <v>304</v>
      </c>
      <c r="N166" s="122"/>
      <c r="O166" s="123"/>
      <c r="P166" s="129">
        <f>E167-E165</f>
        <v>-899.72223952474451</v>
      </c>
    </row>
    <row r="167" spans="1:16" x14ac:dyDescent="0.2">
      <c r="A167" s="19" t="s">
        <v>305</v>
      </c>
      <c r="B167" s="19"/>
      <c r="C167" s="19"/>
      <c r="D167" s="19"/>
      <c r="E167" s="118">
        <f>E166+K167</f>
        <v>61128.540071487034</v>
      </c>
      <c r="F167" s="20"/>
      <c r="G167" s="119" t="s">
        <v>306</v>
      </c>
      <c r="H167" s="119"/>
      <c r="I167" s="119"/>
      <c r="J167" s="119"/>
      <c r="K167" s="120">
        <f>SUM(K138:K142)+M149+M148+M147+M151+M154</f>
        <v>36128.540071487034</v>
      </c>
      <c r="L167" s="37"/>
      <c r="M167" s="121" t="s">
        <v>307</v>
      </c>
      <c r="N167" s="122"/>
      <c r="O167" s="123"/>
      <c r="P167" s="130">
        <f>P166/P165</f>
        <v>-1.6557911557029376E-2</v>
      </c>
    </row>
    <row r="168" spans="1:16" x14ac:dyDescent="0.2">
      <c r="A168" s="131" t="s">
        <v>308</v>
      </c>
      <c r="B168" s="19"/>
      <c r="C168" s="19"/>
      <c r="D168" s="19"/>
      <c r="E168" s="118">
        <f>E167+K168+K167</f>
        <v>97258.253659208713</v>
      </c>
      <c r="F168" s="20"/>
      <c r="G168" s="119" t="s">
        <v>309</v>
      </c>
      <c r="H168" s="119"/>
      <c r="I168" s="119"/>
      <c r="J168" s="119"/>
      <c r="K168" s="132">
        <f>(P165/E166)-1</f>
        <v>1.17351623464321</v>
      </c>
      <c r="L168" s="37"/>
      <c r="M168" s="133" t="s">
        <v>310</v>
      </c>
      <c r="N168" s="134"/>
      <c r="O168" s="135"/>
      <c r="P168" s="136">
        <f>P92+P88+P79+P63+P48+P27+P2+P167</f>
        <v>0.99179897728129096</v>
      </c>
    </row>
    <row r="169" spans="1:16" x14ac:dyDescent="0.2">
      <c r="A169" s="87" t="s">
        <v>311</v>
      </c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9"/>
    </row>
    <row r="170" spans="1:16" x14ac:dyDescent="0.2">
      <c r="A170" s="13" t="s">
        <v>312</v>
      </c>
      <c r="B170" s="13" t="s">
        <v>3</v>
      </c>
      <c r="C170" s="13" t="s">
        <v>313</v>
      </c>
      <c r="D170" s="13" t="s">
        <v>5</v>
      </c>
      <c r="E170" s="15" t="s">
        <v>314</v>
      </c>
      <c r="F170" s="13" t="s">
        <v>315</v>
      </c>
      <c r="G170" s="13" t="s">
        <v>316</v>
      </c>
      <c r="H170" s="17" t="s">
        <v>317</v>
      </c>
      <c r="I170" s="17" t="s">
        <v>318</v>
      </c>
      <c r="J170" s="133" t="s">
        <v>319</v>
      </c>
      <c r="K170" s="133" t="s">
        <v>320</v>
      </c>
      <c r="L170" s="134"/>
      <c r="M170" s="134"/>
      <c r="N170" s="134"/>
      <c r="O170" s="134"/>
      <c r="P170" s="135"/>
    </row>
    <row r="171" spans="1:16" x14ac:dyDescent="0.2">
      <c r="A171" s="20" t="s">
        <v>321</v>
      </c>
      <c r="B171" s="20" t="s">
        <v>322</v>
      </c>
      <c r="C171" s="42"/>
      <c r="D171" s="20">
        <v>30</v>
      </c>
      <c r="E171" s="22">
        <f>C162</f>
        <v>0.87642418930762489</v>
      </c>
      <c r="F171" s="137">
        <f>'[1]auto data'!Z3/100</f>
        <v>29.484999999999999</v>
      </c>
      <c r="G171" s="24">
        <f>(F171)/E171*D171</f>
        <v>1009.2715499999999</v>
      </c>
      <c r="H171" s="138">
        <v>25</v>
      </c>
      <c r="I171" s="62" t="s">
        <v>323</v>
      </c>
      <c r="J171" s="22" t="s">
        <v>324</v>
      </c>
      <c r="K171" s="139" t="s">
        <v>325</v>
      </c>
      <c r="L171" s="140"/>
      <c r="M171" s="140"/>
      <c r="N171" s="140"/>
      <c r="O171" s="140"/>
      <c r="P171" s="141"/>
    </row>
    <row r="172" spans="1:16" x14ac:dyDescent="0.2">
      <c r="A172" s="20" t="s">
        <v>326</v>
      </c>
      <c r="B172" s="20" t="s">
        <v>327</v>
      </c>
      <c r="C172" s="42"/>
      <c r="D172" s="20">
        <v>100</v>
      </c>
      <c r="E172" s="22">
        <f>C159</f>
        <v>1.0670081092616304</v>
      </c>
      <c r="F172" s="137">
        <f>'[1]auto data'!Z4</f>
        <v>3.66</v>
      </c>
      <c r="G172" s="24">
        <f t="shared" ref="G172:G180" si="43">(F172/E172)*D172</f>
        <v>343.01519999999999</v>
      </c>
      <c r="H172" s="138">
        <v>2.5</v>
      </c>
      <c r="I172" s="62" t="s">
        <v>328</v>
      </c>
      <c r="J172" s="22" t="s">
        <v>324</v>
      </c>
      <c r="K172" s="139" t="s">
        <v>329</v>
      </c>
      <c r="L172" s="140"/>
      <c r="M172" s="140"/>
      <c r="N172" s="140"/>
      <c r="O172" s="140"/>
      <c r="P172" s="141"/>
    </row>
    <row r="173" spans="1:16" x14ac:dyDescent="0.2">
      <c r="A173" s="20" t="s">
        <v>330</v>
      </c>
      <c r="B173" s="20" t="s">
        <v>331</v>
      </c>
      <c r="C173" s="42"/>
      <c r="D173" s="20">
        <v>10</v>
      </c>
      <c r="E173" s="22">
        <f>C159</f>
        <v>1.0670081092616304</v>
      </c>
      <c r="F173" s="137">
        <f>'[1]auto data'!Z5</f>
        <v>48.17</v>
      </c>
      <c r="G173" s="24">
        <f t="shared" si="43"/>
        <v>451.44924000000003</v>
      </c>
      <c r="H173" s="138">
        <v>40</v>
      </c>
      <c r="I173" s="62" t="s">
        <v>328</v>
      </c>
      <c r="J173" s="22" t="s">
        <v>324</v>
      </c>
      <c r="K173" s="139" t="s">
        <v>329</v>
      </c>
      <c r="L173" s="140"/>
      <c r="M173" s="140"/>
      <c r="N173" s="140"/>
      <c r="O173" s="140"/>
      <c r="P173" s="141"/>
    </row>
    <row r="174" spans="1:16" x14ac:dyDescent="0.2">
      <c r="A174" s="20" t="s">
        <v>332</v>
      </c>
      <c r="B174" s="20" t="s">
        <v>333</v>
      </c>
      <c r="C174" s="42"/>
      <c r="D174" s="20">
        <v>50</v>
      </c>
      <c r="E174" s="22">
        <f>C161</f>
        <v>1.5936254980079683</v>
      </c>
      <c r="F174" s="137">
        <f>'[1]auto data'!Z6</f>
        <v>21.42</v>
      </c>
      <c r="G174" s="24">
        <f t="shared" si="43"/>
        <v>672.05250000000001</v>
      </c>
      <c r="H174" s="138">
        <v>11.5</v>
      </c>
      <c r="I174" s="62" t="s">
        <v>334</v>
      </c>
      <c r="J174" s="22" t="s">
        <v>324</v>
      </c>
      <c r="K174" s="139" t="s">
        <v>335</v>
      </c>
      <c r="L174" s="140"/>
      <c r="M174" s="140"/>
      <c r="N174" s="140"/>
      <c r="O174" s="140"/>
      <c r="P174" s="141"/>
    </row>
    <row r="175" spans="1:16" x14ac:dyDescent="0.2">
      <c r="A175" s="20" t="s">
        <v>336</v>
      </c>
      <c r="B175" s="20" t="s">
        <v>337</v>
      </c>
      <c r="C175" s="42"/>
      <c r="D175" s="20">
        <v>150</v>
      </c>
      <c r="E175" s="22">
        <f>C159</f>
        <v>1.0670081092616304</v>
      </c>
      <c r="F175" s="137">
        <f>'[1]auto data'!Z7</f>
        <v>2.76</v>
      </c>
      <c r="G175" s="24">
        <f t="shared" si="43"/>
        <v>388.00079999999997</v>
      </c>
      <c r="H175" s="138">
        <v>1</v>
      </c>
      <c r="I175" s="62" t="s">
        <v>328</v>
      </c>
      <c r="J175" s="22" t="s">
        <v>324</v>
      </c>
      <c r="K175" s="139" t="s">
        <v>338</v>
      </c>
      <c r="L175" s="140"/>
      <c r="M175" s="140"/>
      <c r="N175" s="140"/>
      <c r="O175" s="140"/>
      <c r="P175" s="141"/>
    </row>
    <row r="176" spans="1:16" x14ac:dyDescent="0.2">
      <c r="A176" s="20" t="s">
        <v>339</v>
      </c>
      <c r="B176" s="20" t="s">
        <v>340</v>
      </c>
      <c r="C176" s="42"/>
      <c r="D176" s="20">
        <v>1000</v>
      </c>
      <c r="E176" s="22">
        <f>C160</f>
        <v>1.4652014652014651</v>
      </c>
      <c r="F176" s="137">
        <f>'[1]auto data'!Z8</f>
        <v>0.4</v>
      </c>
      <c r="G176" s="24">
        <f t="shared" si="43"/>
        <v>273</v>
      </c>
      <c r="H176" s="138">
        <v>0.3</v>
      </c>
      <c r="I176" s="62" t="s">
        <v>341</v>
      </c>
      <c r="J176" s="22" t="s">
        <v>342</v>
      </c>
      <c r="K176" s="139" t="s">
        <v>338</v>
      </c>
      <c r="L176" s="140"/>
      <c r="M176" s="140"/>
      <c r="N176" s="140"/>
      <c r="O176" s="140"/>
      <c r="P176" s="141"/>
    </row>
    <row r="177" spans="1:16" x14ac:dyDescent="0.2">
      <c r="A177" s="20" t="s">
        <v>343</v>
      </c>
      <c r="B177" s="20" t="s">
        <v>344</v>
      </c>
      <c r="C177" s="42"/>
      <c r="D177" s="20">
        <v>400</v>
      </c>
      <c r="E177" s="22">
        <f>C160</f>
        <v>1.4652014652014651</v>
      </c>
      <c r="F177" s="137">
        <f>'[1]auto data'!Z9</f>
        <v>0.57999999999999996</v>
      </c>
      <c r="G177" s="24">
        <f t="shared" si="43"/>
        <v>158.34</v>
      </c>
      <c r="H177" s="138">
        <v>0.25</v>
      </c>
      <c r="I177" s="62" t="s">
        <v>334</v>
      </c>
      <c r="J177" s="22" t="s">
        <v>342</v>
      </c>
      <c r="K177" s="139" t="s">
        <v>345</v>
      </c>
      <c r="L177" s="140"/>
      <c r="M177" s="140"/>
      <c r="N177" s="140"/>
      <c r="O177" s="140"/>
      <c r="P177" s="141"/>
    </row>
    <row r="178" spans="1:16" x14ac:dyDescent="0.2">
      <c r="A178" s="20" t="s">
        <v>346</v>
      </c>
      <c r="B178" s="20" t="s">
        <v>347</v>
      </c>
      <c r="C178" s="42"/>
      <c r="D178" s="20">
        <v>24</v>
      </c>
      <c r="E178" s="22">
        <f>C159</f>
        <v>1.0670081092616304</v>
      </c>
      <c r="F178" s="137">
        <f>'[1]auto data'!Z10</f>
        <v>4.87</v>
      </c>
      <c r="G178" s="24">
        <f t="shared" si="43"/>
        <v>109.539936</v>
      </c>
      <c r="H178" s="138">
        <v>4</v>
      </c>
      <c r="I178" s="62" t="s">
        <v>328</v>
      </c>
      <c r="J178" s="22" t="s">
        <v>342</v>
      </c>
      <c r="K178" s="139" t="s">
        <v>345</v>
      </c>
      <c r="L178" s="140"/>
      <c r="M178" s="140"/>
      <c r="N178" s="140"/>
      <c r="O178" s="140"/>
      <c r="P178" s="141"/>
    </row>
    <row r="179" spans="1:16" x14ac:dyDescent="0.2">
      <c r="A179" s="20" t="s">
        <v>348</v>
      </c>
      <c r="B179" s="20" t="s">
        <v>152</v>
      </c>
      <c r="C179" s="42"/>
      <c r="D179" s="20">
        <v>4000</v>
      </c>
      <c r="E179" s="22">
        <f>C162</f>
        <v>0.87642418930762489</v>
      </c>
      <c r="F179" s="137">
        <f>'[1]auto data'!Z11/100</f>
        <v>4.4000000000000004E-2</v>
      </c>
      <c r="G179" s="24">
        <f t="shared" si="43"/>
        <v>200.81600000000003</v>
      </c>
      <c r="H179" s="138">
        <v>0.03</v>
      </c>
      <c r="I179" s="62" t="s">
        <v>323</v>
      </c>
      <c r="J179" s="22" t="s">
        <v>342</v>
      </c>
      <c r="K179" s="139" t="s">
        <v>345</v>
      </c>
      <c r="L179" s="140"/>
      <c r="M179" s="140"/>
      <c r="N179" s="140"/>
      <c r="O179" s="140"/>
      <c r="P179" s="141"/>
    </row>
    <row r="180" spans="1:16" x14ac:dyDescent="0.2">
      <c r="A180" s="20" t="s">
        <v>349</v>
      </c>
      <c r="B180" s="20" t="s">
        <v>350</v>
      </c>
      <c r="C180" s="42"/>
      <c r="D180" s="20">
        <v>1400</v>
      </c>
      <c r="E180" s="22">
        <f>C159</f>
        <v>1.0670081092616304</v>
      </c>
      <c r="F180" s="137">
        <f>'[1]auto data'!Z12</f>
        <v>0.17730000000000001</v>
      </c>
      <c r="G180" s="24">
        <f t="shared" si="43"/>
        <v>232.63178400000004</v>
      </c>
      <c r="H180" s="138">
        <v>0.15</v>
      </c>
      <c r="I180" s="62" t="s">
        <v>351</v>
      </c>
      <c r="J180" s="22" t="s">
        <v>342</v>
      </c>
      <c r="K180" s="139" t="s">
        <v>345</v>
      </c>
      <c r="L180" s="140"/>
      <c r="M180" s="140"/>
      <c r="N180" s="140"/>
      <c r="O180" s="140"/>
      <c r="P180" s="141"/>
    </row>
  </sheetData>
  <mergeCells count="34">
    <mergeCell ref="G166:J166"/>
    <mergeCell ref="G167:J167"/>
    <mergeCell ref="G168:J168"/>
    <mergeCell ref="E159:P159"/>
    <mergeCell ref="E160:P160"/>
    <mergeCell ref="E161:P161"/>
    <mergeCell ref="E162:P162"/>
    <mergeCell ref="E163:P163"/>
    <mergeCell ref="G165:J165"/>
    <mergeCell ref="A92:F92"/>
    <mergeCell ref="G92:K92"/>
    <mergeCell ref="M92:O92"/>
    <mergeCell ref="N143:P143"/>
    <mergeCell ref="A158:C158"/>
    <mergeCell ref="E158:P158"/>
    <mergeCell ref="A79:F79"/>
    <mergeCell ref="G79:K79"/>
    <mergeCell ref="M79:O79"/>
    <mergeCell ref="A88:F88"/>
    <mergeCell ref="G88:K88"/>
    <mergeCell ref="M88:O88"/>
    <mergeCell ref="A48:F48"/>
    <mergeCell ref="G48:K48"/>
    <mergeCell ref="M48:O48"/>
    <mergeCell ref="A63:F63"/>
    <mergeCell ref="G63:K63"/>
    <mergeCell ref="M63:O63"/>
    <mergeCell ref="A1:P1"/>
    <mergeCell ref="A2:F2"/>
    <mergeCell ref="G2:K2"/>
    <mergeCell ref="M2:O2"/>
    <mergeCell ref="A27:F27"/>
    <mergeCell ref="G27:K27"/>
    <mergeCell ref="M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2023-03-19T09:07:31Z</dcterms:created>
  <dcterms:modified xsi:type="dcterms:W3CDTF">2023-03-19T09:08:48Z</dcterms:modified>
</cp:coreProperties>
</file>