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3"/>
  <workbookPr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8_{68E77D84-DD40-AA4F-8E3E-FAC83CB65998}" xr6:coauthVersionLast="47" xr6:coauthVersionMax="47" xr10:uidLastSave="{00000000-0000-0000-0000-000000000000}"/>
  <bookViews>
    <workbookView xWindow="480" yWindow="1000" windowWidth="25040" windowHeight="14420" xr2:uid="{FEA28FE5-01EE-0644-8AF4-7C7F41E56A2C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1" i="1" l="1"/>
  <c r="F190" i="1"/>
  <c r="F189" i="1"/>
  <c r="G189" i="1" s="1"/>
  <c r="F188" i="1"/>
  <c r="F187" i="1"/>
  <c r="F186" i="1"/>
  <c r="F185" i="1"/>
  <c r="F184" i="1"/>
  <c r="G184" i="1" s="1"/>
  <c r="E184" i="1"/>
  <c r="F183" i="1"/>
  <c r="F182" i="1"/>
  <c r="F181" i="1"/>
  <c r="C172" i="1"/>
  <c r="E189" i="1" s="1"/>
  <c r="C171" i="1"/>
  <c r="C170" i="1"/>
  <c r="E185" i="1" s="1"/>
  <c r="C169" i="1"/>
  <c r="J166" i="1" s="1"/>
  <c r="K166" i="1" s="1"/>
  <c r="J167" i="1"/>
  <c r="K167" i="1" s="1"/>
  <c r="G167" i="1"/>
  <c r="M167" i="1" s="1"/>
  <c r="L167" i="1" s="1"/>
  <c r="G166" i="1"/>
  <c r="H165" i="1"/>
  <c r="G165" i="1"/>
  <c r="J164" i="1"/>
  <c r="K164" i="1" s="1"/>
  <c r="H164" i="1"/>
  <c r="G164" i="1"/>
  <c r="M164" i="1" s="1"/>
  <c r="L164" i="1" s="1"/>
  <c r="H163" i="1"/>
  <c r="G163" i="1"/>
  <c r="J162" i="1"/>
  <c r="K162" i="1" s="1"/>
  <c r="G162" i="1"/>
  <c r="M162" i="1" s="1"/>
  <c r="L162" i="1" s="1"/>
  <c r="G161" i="1"/>
  <c r="G142" i="1"/>
  <c r="K141" i="1"/>
  <c r="L141" i="1" s="1"/>
  <c r="J141" i="1"/>
  <c r="H141" i="1"/>
  <c r="G141" i="1"/>
  <c r="J140" i="1"/>
  <c r="H140" i="1"/>
  <c r="K140" i="1" s="1"/>
  <c r="L140" i="1" s="1"/>
  <c r="G140" i="1"/>
  <c r="H139" i="1"/>
  <c r="G139" i="1"/>
  <c r="J138" i="1"/>
  <c r="K138" i="1" s="1"/>
  <c r="L138" i="1" s="1"/>
  <c r="H138" i="1"/>
  <c r="G138" i="1"/>
  <c r="G137" i="1"/>
  <c r="G136" i="1"/>
  <c r="H135" i="1"/>
  <c r="G135" i="1"/>
  <c r="J134" i="1"/>
  <c r="G134" i="1"/>
  <c r="K133" i="1"/>
  <c r="L133" i="1" s="1"/>
  <c r="J133" i="1"/>
  <c r="H133" i="1"/>
  <c r="H134" i="1" s="1"/>
  <c r="K134" i="1" s="1"/>
  <c r="L134" i="1" s="1"/>
  <c r="G133" i="1"/>
  <c r="J132" i="1"/>
  <c r="H132" i="1"/>
  <c r="K132" i="1" s="1"/>
  <c r="L132" i="1" s="1"/>
  <c r="G132" i="1"/>
  <c r="J131" i="1"/>
  <c r="H131" i="1"/>
  <c r="K131" i="1" s="1"/>
  <c r="L131" i="1" s="1"/>
  <c r="G131" i="1"/>
  <c r="J130" i="1"/>
  <c r="K130" i="1" s="1"/>
  <c r="L130" i="1" s="1"/>
  <c r="H130" i="1"/>
  <c r="G130" i="1"/>
  <c r="K129" i="1"/>
  <c r="L129" i="1" s="1"/>
  <c r="J129" i="1"/>
  <c r="H129" i="1"/>
  <c r="G129" i="1"/>
  <c r="J128" i="1"/>
  <c r="H128" i="1"/>
  <c r="K128" i="1" s="1"/>
  <c r="L128" i="1" s="1"/>
  <c r="G128" i="1"/>
  <c r="J127" i="1"/>
  <c r="H127" i="1"/>
  <c r="K127" i="1" s="1"/>
  <c r="L127" i="1" s="1"/>
  <c r="G127" i="1"/>
  <c r="J126" i="1"/>
  <c r="K126" i="1" s="1"/>
  <c r="L126" i="1" s="1"/>
  <c r="H126" i="1"/>
  <c r="G126" i="1"/>
  <c r="G125" i="1"/>
  <c r="G124" i="1"/>
  <c r="H123" i="1"/>
  <c r="G123" i="1"/>
  <c r="J122" i="1"/>
  <c r="H122" i="1"/>
  <c r="K122" i="1" s="1"/>
  <c r="L122" i="1" s="1"/>
  <c r="G122" i="1"/>
  <c r="H121" i="1"/>
  <c r="H125" i="1" s="1"/>
  <c r="G121" i="1"/>
  <c r="J120" i="1"/>
  <c r="H120" i="1"/>
  <c r="K120" i="1" s="1"/>
  <c r="L120" i="1" s="1"/>
  <c r="G120" i="1"/>
  <c r="H119" i="1"/>
  <c r="G119" i="1"/>
  <c r="H118" i="1"/>
  <c r="K118" i="1" s="1"/>
  <c r="L118" i="1" s="1"/>
  <c r="G118" i="1"/>
  <c r="J117" i="1"/>
  <c r="K117" i="1" s="1"/>
  <c r="L117" i="1" s="1"/>
  <c r="G117" i="1"/>
  <c r="J116" i="1"/>
  <c r="G116" i="1"/>
  <c r="K115" i="1"/>
  <c r="L115" i="1" s="1"/>
  <c r="J115" i="1"/>
  <c r="H115" i="1"/>
  <c r="H116" i="1" s="1"/>
  <c r="K116" i="1" s="1"/>
  <c r="L116" i="1" s="1"/>
  <c r="G115" i="1"/>
  <c r="L114" i="1"/>
  <c r="J114" i="1"/>
  <c r="H114" i="1"/>
  <c r="K114" i="1" s="1"/>
  <c r="G114" i="1"/>
  <c r="G113" i="1"/>
  <c r="J112" i="1"/>
  <c r="H112" i="1"/>
  <c r="K112" i="1" s="1"/>
  <c r="L112" i="1" s="1"/>
  <c r="G112" i="1"/>
  <c r="J111" i="1"/>
  <c r="H111" i="1"/>
  <c r="G111" i="1"/>
  <c r="K110" i="1"/>
  <c r="J110" i="1"/>
  <c r="I110" i="1"/>
  <c r="H110" i="1"/>
  <c r="G110" i="1"/>
  <c r="G109" i="1"/>
  <c r="J108" i="1"/>
  <c r="G108" i="1"/>
  <c r="G107" i="1"/>
  <c r="I106" i="1"/>
  <c r="H106" i="1"/>
  <c r="G106" i="1"/>
  <c r="J105" i="1"/>
  <c r="I105" i="1"/>
  <c r="H105" i="1"/>
  <c r="K105" i="1" s="1"/>
  <c r="L105" i="1" s="1"/>
  <c r="G105" i="1"/>
  <c r="G104" i="1"/>
  <c r="H103" i="1"/>
  <c r="G103" i="1"/>
  <c r="I101" i="1"/>
  <c r="K101" i="1" s="1"/>
  <c r="G101" i="1"/>
  <c r="M101" i="1" s="1"/>
  <c r="I100" i="1"/>
  <c r="K100" i="1" s="1"/>
  <c r="G100" i="1"/>
  <c r="G96" i="1"/>
  <c r="G95" i="1"/>
  <c r="G94" i="1"/>
  <c r="G93" i="1"/>
  <c r="G92" i="1"/>
  <c r="G91" i="1"/>
  <c r="G90" i="1"/>
  <c r="K89" i="1"/>
  <c r="J89" i="1"/>
  <c r="J88" i="1"/>
  <c r="K88" i="1" s="1"/>
  <c r="L88" i="1" s="1"/>
  <c r="G88" i="1"/>
  <c r="J87" i="1"/>
  <c r="K87" i="1" s="1"/>
  <c r="L87" i="1" s="1"/>
  <c r="G87" i="1"/>
  <c r="J86" i="1"/>
  <c r="K86" i="1" s="1"/>
  <c r="L86" i="1" s="1"/>
  <c r="G86" i="1"/>
  <c r="J85" i="1"/>
  <c r="K85" i="1" s="1"/>
  <c r="L85" i="1" s="1"/>
  <c r="G85" i="1"/>
  <c r="J84" i="1"/>
  <c r="K84" i="1" s="1"/>
  <c r="G84" i="1"/>
  <c r="P81" i="1"/>
  <c r="O81" i="1"/>
  <c r="K81" i="1"/>
  <c r="J81" i="1"/>
  <c r="H81" i="1"/>
  <c r="G81" i="1"/>
  <c r="P80" i="1"/>
  <c r="O80" i="1"/>
  <c r="K80" i="1"/>
  <c r="J80" i="1"/>
  <c r="H80" i="1"/>
  <c r="G80" i="1"/>
  <c r="P79" i="1"/>
  <c r="O79" i="1"/>
  <c r="K79" i="1"/>
  <c r="J79" i="1"/>
  <c r="H79" i="1"/>
  <c r="G79" i="1"/>
  <c r="P78" i="1"/>
  <c r="O78" i="1"/>
  <c r="K78" i="1"/>
  <c r="J78" i="1"/>
  <c r="I78" i="1"/>
  <c r="H78" i="1"/>
  <c r="G78" i="1"/>
  <c r="P77" i="1"/>
  <c r="O77" i="1"/>
  <c r="L77" i="1"/>
  <c r="J77" i="1"/>
  <c r="H77" i="1"/>
  <c r="K77" i="1" s="1"/>
  <c r="G77" i="1"/>
  <c r="P76" i="1"/>
  <c r="O76" i="1"/>
  <c r="J76" i="1"/>
  <c r="H76" i="1"/>
  <c r="K76" i="1" s="1"/>
  <c r="G76" i="1"/>
  <c r="P75" i="1"/>
  <c r="O75" i="1"/>
  <c r="L75" i="1"/>
  <c r="J75" i="1"/>
  <c r="H75" i="1"/>
  <c r="K75" i="1" s="1"/>
  <c r="G75" i="1"/>
  <c r="O72" i="1"/>
  <c r="P72" i="1" s="1"/>
  <c r="J72" i="1"/>
  <c r="K72" i="1" s="1"/>
  <c r="H72" i="1"/>
  <c r="G72" i="1"/>
  <c r="O71" i="1"/>
  <c r="P71" i="1" s="1"/>
  <c r="J71" i="1"/>
  <c r="K71" i="1" s="1"/>
  <c r="H71" i="1"/>
  <c r="G71" i="1"/>
  <c r="O70" i="1"/>
  <c r="P70" i="1" s="1"/>
  <c r="J70" i="1"/>
  <c r="K70" i="1" s="1"/>
  <c r="H70" i="1"/>
  <c r="G70" i="1"/>
  <c r="O69" i="1"/>
  <c r="P69" i="1" s="1"/>
  <c r="J69" i="1"/>
  <c r="K69" i="1" s="1"/>
  <c r="H69" i="1"/>
  <c r="G69" i="1"/>
  <c r="O68" i="1"/>
  <c r="P68" i="1" s="1"/>
  <c r="J68" i="1"/>
  <c r="K68" i="1" s="1"/>
  <c r="H68" i="1"/>
  <c r="G68" i="1"/>
  <c r="O67" i="1"/>
  <c r="P67" i="1" s="1"/>
  <c r="J67" i="1"/>
  <c r="K67" i="1" s="1"/>
  <c r="H67" i="1"/>
  <c r="G67" i="1"/>
  <c r="O66" i="1"/>
  <c r="P66" i="1" s="1"/>
  <c r="J66" i="1"/>
  <c r="K66" i="1" s="1"/>
  <c r="G66" i="1"/>
  <c r="O65" i="1"/>
  <c r="P65" i="1" s="1"/>
  <c r="M65" i="1"/>
  <c r="J65" i="1"/>
  <c r="H65" i="1"/>
  <c r="K65" i="1" s="1"/>
  <c r="L65" i="1" s="1"/>
  <c r="G65" i="1"/>
  <c r="O64" i="1"/>
  <c r="P64" i="1" s="1"/>
  <c r="M64" i="1"/>
  <c r="J64" i="1"/>
  <c r="H64" i="1"/>
  <c r="K64" i="1" s="1"/>
  <c r="L64" i="1" s="1"/>
  <c r="G64" i="1"/>
  <c r="O63" i="1"/>
  <c r="P63" i="1" s="1"/>
  <c r="J63" i="1"/>
  <c r="H63" i="1"/>
  <c r="K63" i="1" s="1"/>
  <c r="L63" i="1" s="1"/>
  <c r="G63" i="1"/>
  <c r="O62" i="1"/>
  <c r="P62" i="1" s="1"/>
  <c r="J62" i="1"/>
  <c r="H62" i="1"/>
  <c r="K62" i="1" s="1"/>
  <c r="L62" i="1" s="1"/>
  <c r="G62" i="1"/>
  <c r="O61" i="1"/>
  <c r="P61" i="1" s="1"/>
  <c r="J61" i="1"/>
  <c r="H61" i="1"/>
  <c r="G61" i="1"/>
  <c r="P58" i="1"/>
  <c r="O58" i="1"/>
  <c r="K58" i="1"/>
  <c r="M58" i="1" s="1"/>
  <c r="J58" i="1"/>
  <c r="H58" i="1"/>
  <c r="G58" i="1"/>
  <c r="J57" i="1"/>
  <c r="I57" i="1"/>
  <c r="K57" i="1" s="1"/>
  <c r="H57" i="1"/>
  <c r="G57" i="1"/>
  <c r="P56" i="1"/>
  <c r="O56" i="1"/>
  <c r="K56" i="1"/>
  <c r="M56" i="1" s="1"/>
  <c r="J56" i="1"/>
  <c r="I56" i="1"/>
  <c r="H56" i="1"/>
  <c r="G56" i="1"/>
  <c r="J55" i="1"/>
  <c r="I55" i="1"/>
  <c r="H55" i="1"/>
  <c r="K55" i="1" s="1"/>
  <c r="M55" i="1" s="1"/>
  <c r="G55" i="1"/>
  <c r="O54" i="1"/>
  <c r="P54" i="1" s="1"/>
  <c r="J54" i="1"/>
  <c r="I54" i="1"/>
  <c r="K54" i="1" s="1"/>
  <c r="H54" i="1"/>
  <c r="G54" i="1"/>
  <c r="P53" i="1"/>
  <c r="O53" i="1"/>
  <c r="K53" i="1"/>
  <c r="M53" i="1" s="1"/>
  <c r="J53" i="1"/>
  <c r="I53" i="1"/>
  <c r="H53" i="1"/>
  <c r="G53" i="1"/>
  <c r="J52" i="1"/>
  <c r="I52" i="1"/>
  <c r="O52" i="1" s="1"/>
  <c r="P52" i="1" s="1"/>
  <c r="H52" i="1"/>
  <c r="K52" i="1" s="1"/>
  <c r="G52" i="1"/>
  <c r="J51" i="1"/>
  <c r="I51" i="1"/>
  <c r="O51" i="1" s="1"/>
  <c r="P51" i="1" s="1"/>
  <c r="H51" i="1"/>
  <c r="K51" i="1" s="1"/>
  <c r="G51" i="1"/>
  <c r="I50" i="1"/>
  <c r="O50" i="1" s="1"/>
  <c r="P50" i="1" s="1"/>
  <c r="H50" i="1"/>
  <c r="K50" i="1" s="1"/>
  <c r="G50" i="1"/>
  <c r="O49" i="1"/>
  <c r="P49" i="1" s="1"/>
  <c r="J49" i="1"/>
  <c r="I49" i="1"/>
  <c r="K49" i="1" s="1"/>
  <c r="H49" i="1"/>
  <c r="G49" i="1"/>
  <c r="P48" i="1"/>
  <c r="O48" i="1"/>
  <c r="K48" i="1"/>
  <c r="M48" i="1" s="1"/>
  <c r="J48" i="1"/>
  <c r="I48" i="1"/>
  <c r="H48" i="1"/>
  <c r="G48" i="1"/>
  <c r="O45" i="1"/>
  <c r="P45" i="1" s="1"/>
  <c r="J45" i="1"/>
  <c r="H45" i="1"/>
  <c r="K45" i="1" s="1"/>
  <c r="G45" i="1"/>
  <c r="O44" i="1"/>
  <c r="P44" i="1" s="1"/>
  <c r="J44" i="1"/>
  <c r="H44" i="1"/>
  <c r="K44" i="1" s="1"/>
  <c r="G44" i="1"/>
  <c r="O43" i="1"/>
  <c r="P43" i="1" s="1"/>
  <c r="J43" i="1"/>
  <c r="H43" i="1"/>
  <c r="K43" i="1" s="1"/>
  <c r="G43" i="1"/>
  <c r="O42" i="1"/>
  <c r="P42" i="1" s="1"/>
  <c r="J42" i="1"/>
  <c r="H42" i="1"/>
  <c r="K42" i="1" s="1"/>
  <c r="G42" i="1"/>
  <c r="O41" i="1"/>
  <c r="P41" i="1" s="1"/>
  <c r="J41" i="1"/>
  <c r="H41" i="1"/>
  <c r="K41" i="1" s="1"/>
  <c r="G41" i="1"/>
  <c r="O40" i="1"/>
  <c r="P40" i="1" s="1"/>
  <c r="J40" i="1"/>
  <c r="H40" i="1"/>
  <c r="K40" i="1" s="1"/>
  <c r="G40" i="1"/>
  <c r="O39" i="1"/>
  <c r="P39" i="1" s="1"/>
  <c r="J39" i="1"/>
  <c r="H39" i="1"/>
  <c r="K39" i="1" s="1"/>
  <c r="G39" i="1"/>
  <c r="O38" i="1"/>
  <c r="P38" i="1" s="1"/>
  <c r="J38" i="1"/>
  <c r="H38" i="1"/>
  <c r="K38" i="1" s="1"/>
  <c r="G38" i="1"/>
  <c r="O37" i="1"/>
  <c r="P37" i="1" s="1"/>
  <c r="J37" i="1"/>
  <c r="H37" i="1"/>
  <c r="K37" i="1" s="1"/>
  <c r="G37" i="1"/>
  <c r="O36" i="1"/>
  <c r="P36" i="1" s="1"/>
  <c r="J36" i="1"/>
  <c r="H36" i="1"/>
  <c r="K36" i="1" s="1"/>
  <c r="G36" i="1"/>
  <c r="O35" i="1"/>
  <c r="P35" i="1" s="1"/>
  <c r="J35" i="1"/>
  <c r="H35" i="1"/>
  <c r="K35" i="1" s="1"/>
  <c r="G35" i="1"/>
  <c r="K34" i="1"/>
  <c r="M34" i="1" s="1"/>
  <c r="J34" i="1"/>
  <c r="H34" i="1"/>
  <c r="O33" i="1"/>
  <c r="P33" i="1" s="1"/>
  <c r="J33" i="1"/>
  <c r="H33" i="1"/>
  <c r="K33" i="1" s="1"/>
  <c r="G33" i="1"/>
  <c r="O32" i="1"/>
  <c r="P32" i="1" s="1"/>
  <c r="J32" i="1"/>
  <c r="H32" i="1"/>
  <c r="K32" i="1" s="1"/>
  <c r="G32" i="1"/>
  <c r="O31" i="1"/>
  <c r="P31" i="1" s="1"/>
  <c r="J31" i="1"/>
  <c r="H31" i="1"/>
  <c r="K31" i="1" s="1"/>
  <c r="G31" i="1"/>
  <c r="O30" i="1"/>
  <c r="P30" i="1" s="1"/>
  <c r="J30" i="1"/>
  <c r="H30" i="1"/>
  <c r="K30" i="1" s="1"/>
  <c r="G30" i="1"/>
  <c r="O29" i="1"/>
  <c r="P29" i="1" s="1"/>
  <c r="J29" i="1"/>
  <c r="H29" i="1"/>
  <c r="K29" i="1" s="1"/>
  <c r="G29" i="1"/>
  <c r="O28" i="1"/>
  <c r="P28" i="1" s="1"/>
  <c r="J28" i="1"/>
  <c r="H28" i="1"/>
  <c r="K28" i="1" s="1"/>
  <c r="G28" i="1"/>
  <c r="O27" i="1"/>
  <c r="P27" i="1" s="1"/>
  <c r="J27" i="1"/>
  <c r="H27" i="1"/>
  <c r="K27" i="1" s="1"/>
  <c r="G27" i="1"/>
  <c r="P24" i="1"/>
  <c r="O24" i="1"/>
  <c r="K24" i="1"/>
  <c r="L24" i="1" s="1"/>
  <c r="J24" i="1"/>
  <c r="H24" i="1"/>
  <c r="G24" i="1"/>
  <c r="P23" i="1"/>
  <c r="O23" i="1"/>
  <c r="K23" i="1"/>
  <c r="M23" i="1" s="1"/>
  <c r="J23" i="1"/>
  <c r="H23" i="1"/>
  <c r="G23" i="1"/>
  <c r="J22" i="1"/>
  <c r="G22" i="1"/>
  <c r="J21" i="1"/>
  <c r="I21" i="1"/>
  <c r="I22" i="1" s="1"/>
  <c r="O22" i="1" s="1"/>
  <c r="P22" i="1" s="1"/>
  <c r="H21" i="1"/>
  <c r="K21" i="1" s="1"/>
  <c r="G21" i="1"/>
  <c r="J20" i="1"/>
  <c r="I20" i="1"/>
  <c r="O20" i="1" s="1"/>
  <c r="P20" i="1" s="1"/>
  <c r="H20" i="1"/>
  <c r="K20" i="1" s="1"/>
  <c r="G20" i="1"/>
  <c r="O19" i="1"/>
  <c r="P19" i="1" s="1"/>
  <c r="J19" i="1"/>
  <c r="K19" i="1" s="1"/>
  <c r="I19" i="1"/>
  <c r="H19" i="1"/>
  <c r="G19" i="1"/>
  <c r="P18" i="1"/>
  <c r="O18" i="1"/>
  <c r="K18" i="1"/>
  <c r="M18" i="1" s="1"/>
  <c r="J18" i="1"/>
  <c r="H18" i="1"/>
  <c r="G18" i="1"/>
  <c r="P17" i="1"/>
  <c r="O17" i="1"/>
  <c r="J17" i="1"/>
  <c r="G17" i="1"/>
  <c r="P16" i="1"/>
  <c r="O16" i="1"/>
  <c r="K16" i="1"/>
  <c r="M16" i="1" s="1"/>
  <c r="J16" i="1"/>
  <c r="H16" i="1"/>
  <c r="H17" i="1" s="1"/>
  <c r="K17" i="1" s="1"/>
  <c r="G16" i="1"/>
  <c r="P15" i="1"/>
  <c r="O15" i="1"/>
  <c r="J15" i="1"/>
  <c r="G15" i="1"/>
  <c r="P14" i="1"/>
  <c r="O14" i="1"/>
  <c r="K14" i="1"/>
  <c r="M14" i="1" s="1"/>
  <c r="J14" i="1"/>
  <c r="I14" i="1"/>
  <c r="H14" i="1"/>
  <c r="H15" i="1" s="1"/>
  <c r="K15" i="1" s="1"/>
  <c r="G14" i="1"/>
  <c r="P13" i="1"/>
  <c r="O13" i="1"/>
  <c r="J13" i="1"/>
  <c r="H13" i="1"/>
  <c r="K13" i="1" s="1"/>
  <c r="G13" i="1"/>
  <c r="P12" i="1"/>
  <c r="O12" i="1"/>
  <c r="J12" i="1"/>
  <c r="H12" i="1"/>
  <c r="K12" i="1" s="1"/>
  <c r="G12" i="1"/>
  <c r="P11" i="1"/>
  <c r="O11" i="1"/>
  <c r="J11" i="1"/>
  <c r="H11" i="1"/>
  <c r="K11" i="1" s="1"/>
  <c r="G11" i="1"/>
  <c r="P10" i="1"/>
  <c r="O10" i="1"/>
  <c r="J10" i="1"/>
  <c r="H10" i="1"/>
  <c r="K10" i="1" s="1"/>
  <c r="G10" i="1"/>
  <c r="P9" i="1"/>
  <c r="O9" i="1"/>
  <c r="J9" i="1"/>
  <c r="G9" i="1"/>
  <c r="P8" i="1"/>
  <c r="O8" i="1"/>
  <c r="J8" i="1"/>
  <c r="H8" i="1"/>
  <c r="K8" i="1" s="1"/>
  <c r="G8" i="1"/>
  <c r="J7" i="1"/>
  <c r="I7" i="1"/>
  <c r="O7" i="1" s="1"/>
  <c r="P7" i="1" s="1"/>
  <c r="H7" i="1"/>
  <c r="K7" i="1" s="1"/>
  <c r="G7" i="1"/>
  <c r="O6" i="1"/>
  <c r="P6" i="1" s="1"/>
  <c r="J6" i="1"/>
  <c r="G6" i="1"/>
  <c r="J5" i="1"/>
  <c r="I5" i="1"/>
  <c r="O5" i="1" s="1"/>
  <c r="P5" i="1" s="1"/>
  <c r="G5" i="1"/>
  <c r="O4" i="1"/>
  <c r="P4" i="1" s="1"/>
  <c r="J4" i="1"/>
  <c r="K4" i="1" s="1"/>
  <c r="I4" i="1"/>
  <c r="H4" i="1"/>
  <c r="H5" i="1" s="1"/>
  <c r="G4" i="1"/>
  <c r="A1" i="1"/>
  <c r="L31" i="1" l="1"/>
  <c r="M31" i="1"/>
  <c r="M17" i="1"/>
  <c r="L17" i="1"/>
  <c r="L12" i="1"/>
  <c r="M12" i="1"/>
  <c r="L29" i="1"/>
  <c r="M29" i="1"/>
  <c r="L33" i="1"/>
  <c r="M33" i="1"/>
  <c r="M13" i="1"/>
  <c r="L13" i="1"/>
  <c r="L20" i="1"/>
  <c r="M20" i="1"/>
  <c r="L54" i="1"/>
  <c r="M54" i="1"/>
  <c r="M4" i="1"/>
  <c r="L4" i="1"/>
  <c r="L27" i="1"/>
  <c r="M25" i="1"/>
  <c r="M27" i="1"/>
  <c r="L28" i="1"/>
  <c r="M28" i="1"/>
  <c r="L30" i="1"/>
  <c r="M30" i="1"/>
  <c r="L32" i="1"/>
  <c r="M32" i="1"/>
  <c r="M7" i="1"/>
  <c r="L7" i="1"/>
  <c r="M8" i="1"/>
  <c r="L8" i="1"/>
  <c r="H6" i="1"/>
  <c r="K6" i="1" s="1"/>
  <c r="K5" i="1"/>
  <c r="L10" i="1"/>
  <c r="M10" i="1"/>
  <c r="L15" i="1"/>
  <c r="M15" i="1"/>
  <c r="M21" i="1"/>
  <c r="L21" i="1"/>
  <c r="M51" i="1"/>
  <c r="L51" i="1"/>
  <c r="M52" i="1"/>
  <c r="L52" i="1"/>
  <c r="M57" i="1"/>
  <c r="L57" i="1"/>
  <c r="L11" i="1"/>
  <c r="M11" i="1"/>
  <c r="M19" i="1"/>
  <c r="L19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9" i="1"/>
  <c r="M49" i="1"/>
  <c r="L50" i="1"/>
  <c r="M50" i="1"/>
  <c r="O57" i="1"/>
  <c r="P57" i="1" s="1"/>
  <c r="M66" i="1"/>
  <c r="L66" i="1"/>
  <c r="M67" i="1"/>
  <c r="L67" i="1"/>
  <c r="M68" i="1"/>
  <c r="L68" i="1"/>
  <c r="M69" i="1"/>
  <c r="L69" i="1"/>
  <c r="M70" i="1"/>
  <c r="L70" i="1"/>
  <c r="M71" i="1"/>
  <c r="L71" i="1"/>
  <c r="M72" i="1"/>
  <c r="L72" i="1"/>
  <c r="M78" i="1"/>
  <c r="L78" i="1"/>
  <c r="M80" i="1"/>
  <c r="L80" i="1"/>
  <c r="M100" i="1"/>
  <c r="L100" i="1"/>
  <c r="M98" i="1"/>
  <c r="K111" i="1"/>
  <c r="L111" i="1" s="1"/>
  <c r="K165" i="1"/>
  <c r="M165" i="1" s="1"/>
  <c r="L165" i="1" s="1"/>
  <c r="G188" i="1"/>
  <c r="E175" i="1"/>
  <c r="H9" i="1"/>
  <c r="K9" i="1" s="1"/>
  <c r="L14" i="1"/>
  <c r="L16" i="1"/>
  <c r="L18" i="1"/>
  <c r="L23" i="1"/>
  <c r="M76" i="1"/>
  <c r="H113" i="1"/>
  <c r="K113" i="1" s="1"/>
  <c r="L113" i="1" s="1"/>
  <c r="H104" i="1"/>
  <c r="H107" i="1"/>
  <c r="H109" i="1"/>
  <c r="M166" i="1"/>
  <c r="L166" i="1" s="1"/>
  <c r="G185" i="1"/>
  <c r="O21" i="1"/>
  <c r="P21" i="1" s="1"/>
  <c r="M24" i="1"/>
  <c r="L48" i="1"/>
  <c r="L53" i="1"/>
  <c r="L56" i="1"/>
  <c r="L58" i="1"/>
  <c r="M62" i="1"/>
  <c r="M79" i="1"/>
  <c r="L79" i="1"/>
  <c r="M81" i="1"/>
  <c r="L81" i="1"/>
  <c r="L84" i="1"/>
  <c r="L101" i="1"/>
  <c r="L110" i="1"/>
  <c r="K139" i="1"/>
  <c r="L139" i="1" s="1"/>
  <c r="H22" i="1"/>
  <c r="K22" i="1" s="1"/>
  <c r="M46" i="1"/>
  <c r="K61" i="1"/>
  <c r="M63" i="1"/>
  <c r="M73" i="1"/>
  <c r="M75" i="1"/>
  <c r="L76" i="1"/>
  <c r="M77" i="1"/>
  <c r="K123" i="1"/>
  <c r="L123" i="1" s="1"/>
  <c r="M161" i="1"/>
  <c r="E188" i="1"/>
  <c r="J103" i="1"/>
  <c r="K103" i="1" s="1"/>
  <c r="J109" i="1"/>
  <c r="J119" i="1"/>
  <c r="K119" i="1" s="1"/>
  <c r="L119" i="1" s="1"/>
  <c r="J123" i="1"/>
  <c r="H124" i="1"/>
  <c r="J135" i="1"/>
  <c r="K135" i="1" s="1"/>
  <c r="L135" i="1" s="1"/>
  <c r="H136" i="1"/>
  <c r="J139" i="1"/>
  <c r="E183" i="1"/>
  <c r="G183" i="1" s="1"/>
  <c r="E187" i="1"/>
  <c r="G187" i="1" s="1"/>
  <c r="E191" i="1"/>
  <c r="G191" i="1" s="1"/>
  <c r="J90" i="1"/>
  <c r="K90" i="1" s="1"/>
  <c r="L90" i="1" s="1"/>
  <c r="J91" i="1"/>
  <c r="K91" i="1" s="1"/>
  <c r="L91" i="1" s="1"/>
  <c r="J92" i="1"/>
  <c r="K92" i="1" s="1"/>
  <c r="L92" i="1" s="1"/>
  <c r="J93" i="1"/>
  <c r="K93" i="1" s="1"/>
  <c r="L93" i="1" s="1"/>
  <c r="J94" i="1"/>
  <c r="K94" i="1" s="1"/>
  <c r="L94" i="1" s="1"/>
  <c r="J95" i="1"/>
  <c r="K95" i="1" s="1"/>
  <c r="L95" i="1" s="1"/>
  <c r="J96" i="1"/>
  <c r="K96" i="1" s="1"/>
  <c r="L96" i="1" s="1"/>
  <c r="J104" i="1"/>
  <c r="J106" i="1"/>
  <c r="K106" i="1" s="1"/>
  <c r="L106" i="1" s="1"/>
  <c r="J124" i="1"/>
  <c r="J136" i="1"/>
  <c r="J163" i="1"/>
  <c r="K163" i="1" s="1"/>
  <c r="M163" i="1" s="1"/>
  <c r="J165" i="1"/>
  <c r="E182" i="1"/>
  <c r="G182" i="1" s="1"/>
  <c r="E186" i="1"/>
  <c r="G186" i="1" s="1"/>
  <c r="E190" i="1"/>
  <c r="G190" i="1" s="1"/>
  <c r="J107" i="1"/>
  <c r="J121" i="1"/>
  <c r="K121" i="1" s="1"/>
  <c r="L121" i="1" s="1"/>
  <c r="J125" i="1"/>
  <c r="K125" i="1" s="1"/>
  <c r="L125" i="1" s="1"/>
  <c r="J137" i="1"/>
  <c r="J142" i="1"/>
  <c r="K142" i="1" s="1"/>
  <c r="L142" i="1" s="1"/>
  <c r="J161" i="1"/>
  <c r="K161" i="1" s="1"/>
  <c r="E181" i="1"/>
  <c r="G181" i="1" s="1"/>
  <c r="L103" i="1" l="1"/>
  <c r="K175" i="1"/>
  <c r="K176" i="1" s="1"/>
  <c r="L163" i="1"/>
  <c r="L61" i="1"/>
  <c r="M61" i="1"/>
  <c r="M59" i="1"/>
  <c r="M82" i="1"/>
  <c r="K136" i="1"/>
  <c r="L136" i="1" s="1"/>
  <c r="H137" i="1"/>
  <c r="K137" i="1" s="1"/>
  <c r="L137" i="1" s="1"/>
  <c r="K177" i="1"/>
  <c r="E177" i="1" s="1"/>
  <c r="L161" i="1"/>
  <c r="K109" i="1"/>
  <c r="L109" i="1" s="1"/>
  <c r="L5" i="1"/>
  <c r="M5" i="1"/>
  <c r="K104" i="1"/>
  <c r="L104" i="1" s="1"/>
  <c r="M9" i="1"/>
  <c r="L9" i="1"/>
  <c r="K124" i="1"/>
  <c r="L124" i="1" s="1"/>
  <c r="M22" i="1"/>
  <c r="L22" i="1"/>
  <c r="H108" i="1"/>
  <c r="K108" i="1" s="1"/>
  <c r="L108" i="1" s="1"/>
  <c r="K107" i="1"/>
  <c r="L107" i="1" s="1"/>
  <c r="M2" i="1"/>
  <c r="L6" i="1"/>
  <c r="M6" i="1"/>
  <c r="P176" i="1" l="1"/>
  <c r="M102" i="1"/>
  <c r="P175" i="1" l="1"/>
  <c r="K178" i="1" l="1"/>
  <c r="E178" i="1" s="1"/>
  <c r="P98" i="1" s="1"/>
  <c r="P46" i="1"/>
  <c r="P73" i="1"/>
  <c r="P25" i="1"/>
  <c r="P59" i="1"/>
  <c r="P82" i="1"/>
  <c r="P2" i="1"/>
  <c r="P177" i="1"/>
  <c r="P102" i="1"/>
  <c r="P178" i="1" s="1"/>
</calcChain>
</file>

<file path=xl/sharedStrings.xml><?xml version="1.0" encoding="utf-8"?>
<sst xmlns="http://schemas.openxmlformats.org/spreadsheetml/2006/main" count="595" uniqueCount="356">
  <si>
    <t>Big/ Mid Tier Precious Metals Miners, Physical Metals &amp; Royalty's (10-15 open postions)</t>
  </si>
  <si>
    <t>Allocation</t>
  </si>
  <si>
    <t>Investment</t>
  </si>
  <si>
    <t>Ticker</t>
  </si>
  <si>
    <t>Buy date</t>
  </si>
  <si>
    <t>Shares</t>
  </si>
  <si>
    <t>exch. rate buy</t>
  </si>
  <si>
    <t>Buy price</t>
  </si>
  <si>
    <t>Euro spent</t>
  </si>
  <si>
    <t>Price now</t>
  </si>
  <si>
    <t>Dividends</t>
  </si>
  <si>
    <t>exch. Rate now</t>
  </si>
  <si>
    <t>Euro now</t>
  </si>
  <si>
    <t>Return%</t>
  </si>
  <si>
    <t>Return€</t>
  </si>
  <si>
    <t>high</t>
  </si>
  <si>
    <t>Stop</t>
  </si>
  <si>
    <t>S.S.I.</t>
  </si>
  <si>
    <t>1. Sandstorm Gold ltd</t>
  </si>
  <si>
    <t>SAND</t>
  </si>
  <si>
    <t>1a. Sandstorm Gold ltd</t>
  </si>
  <si>
    <t>1b. Sandstorm Gold ltd</t>
  </si>
  <si>
    <t>2. Wheathon Precious Metals</t>
  </si>
  <si>
    <t>WPM</t>
  </si>
  <si>
    <t xml:space="preserve">4.VOX Royalty Corp </t>
  </si>
  <si>
    <t>VOX</t>
  </si>
  <si>
    <t xml:space="preserve">4a.VOX Royalty Corp </t>
  </si>
  <si>
    <t>5. Silvercrest Metals Inc</t>
  </si>
  <si>
    <t>SILV</t>
  </si>
  <si>
    <t>6. Sprott Physical Silver Trust</t>
  </si>
  <si>
    <t>PSLV</t>
  </si>
  <si>
    <t>7. Sprott Physical Platina &amp; Pal Trust</t>
  </si>
  <si>
    <t>SPPP</t>
  </si>
  <si>
    <t>8. Empress Royalty Corp</t>
  </si>
  <si>
    <t>EMPR</t>
  </si>
  <si>
    <t>9. Gold Royalty Corp (+ ELY)</t>
  </si>
  <si>
    <t>GROY</t>
  </si>
  <si>
    <t>9a. Gold Royalty Corp</t>
  </si>
  <si>
    <t>10. Metalla Royalty Corp</t>
  </si>
  <si>
    <t>MTA</t>
  </si>
  <si>
    <t>10a. Metalla Royalty Corp</t>
  </si>
  <si>
    <t>11. Endeavour Silver Corp</t>
  </si>
  <si>
    <t>EXK</t>
  </si>
  <si>
    <t>12. Sailfish Royalties Corp</t>
  </si>
  <si>
    <t>FISH</t>
  </si>
  <si>
    <t>13. Sibayne Stillwater Ltd</t>
  </si>
  <si>
    <t>SBSW</t>
  </si>
  <si>
    <t>13a. Sibayne Stillwater Ltd</t>
  </si>
  <si>
    <t>13b. Sibayne Stillwater Ltd</t>
  </si>
  <si>
    <t>14. First Majestic Silver</t>
  </si>
  <si>
    <t>AG</t>
  </si>
  <si>
    <t>15. EMX Royalty Corp</t>
  </si>
  <si>
    <t>EMX</t>
  </si>
  <si>
    <t>Golden eggs Basket (15-20 open positions)</t>
  </si>
  <si>
    <t xml:space="preserve">1.Tudor Gold Corp </t>
  </si>
  <si>
    <t>TUD^</t>
  </si>
  <si>
    <t>7.Silver Viper Minerals</t>
  </si>
  <si>
    <t>VIPR</t>
  </si>
  <si>
    <t>12. Fortune Bay Corp</t>
  </si>
  <si>
    <t>FOR</t>
  </si>
  <si>
    <t>15. Reyna Silver Corp</t>
  </si>
  <si>
    <t>RSLV</t>
  </si>
  <si>
    <t>18. Ascot Resources</t>
  </si>
  <si>
    <t>AOT^</t>
  </si>
  <si>
    <t>20. Silver One Resources Inc</t>
  </si>
  <si>
    <t>SVE</t>
  </si>
  <si>
    <t>21. First Mining Gold Corp</t>
  </si>
  <si>
    <t>FF</t>
  </si>
  <si>
    <t>21 a. Treasure Metals Inc</t>
  </si>
  <si>
    <t>TML</t>
  </si>
  <si>
    <t>SPIN OUT</t>
  </si>
  <si>
    <t>22. NuLegacy Gold</t>
  </si>
  <si>
    <t>NUG</t>
  </si>
  <si>
    <t>23. Novo Resources</t>
  </si>
  <si>
    <t>NVO</t>
  </si>
  <si>
    <t>24. Firefox Gold Corp</t>
  </si>
  <si>
    <t>FFOX</t>
  </si>
  <si>
    <t xml:space="preserve">25. Blackrock Silver </t>
  </si>
  <si>
    <t>BRC</t>
  </si>
  <si>
    <t>26. Lion One Metals</t>
  </si>
  <si>
    <t>LIO</t>
  </si>
  <si>
    <t>27. Kuya Silver Corp</t>
  </si>
  <si>
    <t>KUYAF</t>
  </si>
  <si>
    <t>28. Eskay Mining</t>
  </si>
  <si>
    <t>ESK</t>
  </si>
  <si>
    <t>29. Cabral Gold</t>
  </si>
  <si>
    <t>CBR</t>
  </si>
  <si>
    <t>30. Discovery Silver Corp</t>
  </si>
  <si>
    <t>DSV</t>
  </si>
  <si>
    <t>31. Finlay Minerals Ltd</t>
  </si>
  <si>
    <t>FYL</t>
  </si>
  <si>
    <t>32. Cassair Gold</t>
  </si>
  <si>
    <t>GLDC</t>
  </si>
  <si>
    <t>Boring Dividend Income (10-15 open positions)</t>
  </si>
  <si>
    <t>1. Gamco Global G&amp;Nat res</t>
  </si>
  <si>
    <t>GGN</t>
  </si>
  <si>
    <t>3. Altria</t>
  </si>
  <si>
    <t>MO</t>
  </si>
  <si>
    <t>5. Royal Dutch Shell</t>
  </si>
  <si>
    <t>RDSA</t>
  </si>
  <si>
    <t>6. Icahn Enterprises LP</t>
  </si>
  <si>
    <t>IEP</t>
  </si>
  <si>
    <t>7. Vale</t>
  </si>
  <si>
    <t>VALE</t>
  </si>
  <si>
    <t>8. Rio Tinto</t>
  </si>
  <si>
    <t>RIO</t>
  </si>
  <si>
    <t>9. BHP Group</t>
  </si>
  <si>
    <t>BHP</t>
  </si>
  <si>
    <t>9a. Woodside Energy</t>
  </si>
  <si>
    <t>WDS</t>
  </si>
  <si>
    <t>MERGER</t>
  </si>
  <si>
    <t>10. Freehold Royalties Ltd</t>
  </si>
  <si>
    <t>FRU</t>
  </si>
  <si>
    <t>11. MPLX LP</t>
  </si>
  <si>
    <t>MPLX</t>
  </si>
  <si>
    <t>12. Viper Energy Partners LP</t>
  </si>
  <si>
    <t>VNOM</t>
  </si>
  <si>
    <t>Uranium (10-15 open positions)</t>
  </si>
  <si>
    <t>10. Encore Energy Corp</t>
  </si>
  <si>
    <t>EU</t>
  </si>
  <si>
    <t>16. Fission Uranium Corp</t>
  </si>
  <si>
    <t>FCU</t>
  </si>
  <si>
    <t>17. Virginia Energy Resources</t>
  </si>
  <si>
    <t>VUI</t>
  </si>
  <si>
    <t>18. Deep Yellow Ltd</t>
  </si>
  <si>
    <t>DYL</t>
  </si>
  <si>
    <t>19. Consolidated Uranium</t>
  </si>
  <si>
    <t>CUR</t>
  </si>
  <si>
    <t>19a. Labrador Uranium Inc</t>
  </si>
  <si>
    <t>LUR</t>
  </si>
  <si>
    <t>20. Mega Uranium Ltd</t>
  </si>
  <si>
    <t>MGA</t>
  </si>
  <si>
    <t>21. Western Uranium &amp; Vanadium</t>
  </si>
  <si>
    <t>WSTRF</t>
  </si>
  <si>
    <t>22. GoviEx Uranium Ltd</t>
  </si>
  <si>
    <t>GXU</t>
  </si>
  <si>
    <t>23. Laramide Resources Ltd</t>
  </si>
  <si>
    <t>LAM</t>
  </si>
  <si>
    <t>8b. Energy Fuels</t>
  </si>
  <si>
    <t>UUUU</t>
  </si>
  <si>
    <t>3b. Uranium Royalty Corp</t>
  </si>
  <si>
    <t>URC</t>
  </si>
  <si>
    <t>EV-metals &amp; Base Metals (5-10 open positions)</t>
  </si>
  <si>
    <t>6. Nova Royalty Corp</t>
  </si>
  <si>
    <t>NOVR</t>
  </si>
  <si>
    <t>7. Electric Royalties Ltd</t>
  </si>
  <si>
    <t>ELEC</t>
  </si>
  <si>
    <t>9. Brixton Metals</t>
  </si>
  <si>
    <t>BBB</t>
  </si>
  <si>
    <t>10. Atalaya Mining</t>
  </si>
  <si>
    <t>ATYM</t>
  </si>
  <si>
    <t>11. Trilogy Metals</t>
  </si>
  <si>
    <t>TMQ</t>
  </si>
  <si>
    <t>12. Altius Minerals</t>
  </si>
  <si>
    <t>ALS</t>
  </si>
  <si>
    <t>13. Bell Copper</t>
  </si>
  <si>
    <t>BCU</t>
  </si>
  <si>
    <t>Opties</t>
  </si>
  <si>
    <t>Put/Call/Warrant</t>
  </si>
  <si>
    <t>profit</t>
  </si>
  <si>
    <t>O/C</t>
  </si>
  <si>
    <t>geschreven Put 2022jan $10</t>
  </si>
  <si>
    <t>closed</t>
  </si>
  <si>
    <t>geschreven Put 2023jan $7</t>
  </si>
  <si>
    <t>geschreven Put 2023jan $5</t>
  </si>
  <si>
    <t>geschreven Put 2022feb $10</t>
  </si>
  <si>
    <t xml:space="preserve">Call 2021dec  $20 </t>
  </si>
  <si>
    <t>VIX</t>
  </si>
  <si>
    <t>warrant: 07aug2023 1,5 call</t>
  </si>
  <si>
    <t>warrant:15sep2025 11,5  call</t>
  </si>
  <si>
    <t>EVGOW</t>
  </si>
  <si>
    <t>FGS</t>
  </si>
  <si>
    <t>warrant:06may2026 11,5  call</t>
  </si>
  <si>
    <t>LEVW</t>
  </si>
  <si>
    <t>NVVEW</t>
  </si>
  <si>
    <t>SAND20240119 put 7</t>
  </si>
  <si>
    <t>UEC20240119 put 3</t>
  </si>
  <si>
    <t>UEC</t>
  </si>
  <si>
    <t>UUUU20240119 put 5</t>
  </si>
  <si>
    <t>AG20240119 put 8</t>
  </si>
  <si>
    <t>Crypto's box, max 10-15 open  positions</t>
  </si>
  <si>
    <t xml:space="preserve">32a. Crypto.com </t>
  </si>
  <si>
    <t>CRO</t>
  </si>
  <si>
    <t>42. Polkadot</t>
  </si>
  <si>
    <t>DOT</t>
  </si>
  <si>
    <t>Free Growth Stocks (FGS) &amp; Free stocks (FS)</t>
  </si>
  <si>
    <t>6. First Majestic Silver</t>
  </si>
  <si>
    <t>precious</t>
  </si>
  <si>
    <t>6a. First Majestic Silver</t>
  </si>
  <si>
    <t>3a</t>
  </si>
  <si>
    <t>8. Franco Nevada</t>
  </si>
  <si>
    <t>FNV</t>
  </si>
  <si>
    <t>9. Sandstorm Gold</t>
  </si>
  <si>
    <t>9a. Sandstorm Gold</t>
  </si>
  <si>
    <t>6a</t>
  </si>
  <si>
    <t>9b. Sandstorm Gold</t>
  </si>
  <si>
    <t>6b</t>
  </si>
  <si>
    <t>9c. Sandstorm Gold</t>
  </si>
  <si>
    <t>6c</t>
  </si>
  <si>
    <t>10. Metella Royalty &amp; Streaming Ltd</t>
  </si>
  <si>
    <t>12.Coeur Mining Inc</t>
  </si>
  <si>
    <t>CDE</t>
  </si>
  <si>
    <t>15. Defiance Silver Corp</t>
  </si>
  <si>
    <t>DEF</t>
  </si>
  <si>
    <t>basket</t>
  </si>
  <si>
    <t>19. First Majestic Silver</t>
  </si>
  <si>
    <t>Precious</t>
  </si>
  <si>
    <t>23. Nexgen Energy</t>
  </si>
  <si>
    <t>NXE^</t>
  </si>
  <si>
    <t xml:space="preserve">bullet </t>
  </si>
  <si>
    <t>24. Uranium Royalty Corp</t>
  </si>
  <si>
    <t>URC^</t>
  </si>
  <si>
    <t>24a. Uranium Royalty Corp</t>
  </si>
  <si>
    <t>2a</t>
  </si>
  <si>
    <t>24b. Uranium Royalty Corp</t>
  </si>
  <si>
    <t>2b</t>
  </si>
  <si>
    <t>26. Ur-Energy Inc</t>
  </si>
  <si>
    <t>URG</t>
  </si>
  <si>
    <t>26a Ur-Energy Inc</t>
  </si>
  <si>
    <t>27. Ivanhoe Mines</t>
  </si>
  <si>
    <t>IVN</t>
  </si>
  <si>
    <t>battery</t>
  </si>
  <si>
    <t>28. Uranium Energy Corp</t>
  </si>
  <si>
    <t>28a. Uranium Energy Corp</t>
  </si>
  <si>
    <t>4a</t>
  </si>
  <si>
    <t>28b. Uranium Energy Corp</t>
  </si>
  <si>
    <t>4b</t>
  </si>
  <si>
    <t>28c. Uranium Energy Corp</t>
  </si>
  <si>
    <t>4c</t>
  </si>
  <si>
    <t>28d. Uranium Energy Corp</t>
  </si>
  <si>
    <t>4d</t>
  </si>
  <si>
    <t>32. Atico Mining Corp</t>
  </si>
  <si>
    <t>ATY^</t>
  </si>
  <si>
    <t>34. Paladin Energy Ltd</t>
  </si>
  <si>
    <t>PDN</t>
  </si>
  <si>
    <t>35. IsoEnergy Ltd</t>
  </si>
  <si>
    <t>ISO^</t>
  </si>
  <si>
    <t>36. Peninsula Energy Inc</t>
  </si>
  <si>
    <t>PEN</t>
  </si>
  <si>
    <t>37. Bannerman Resources ltd</t>
  </si>
  <si>
    <t>BMN</t>
  </si>
  <si>
    <t>38. Anfield Energy Inc</t>
  </si>
  <si>
    <t>AEC</t>
  </si>
  <si>
    <t>40. Vizsla Silver Corp</t>
  </si>
  <si>
    <t>VZLA</t>
  </si>
  <si>
    <t>42. Global Atomic</t>
  </si>
  <si>
    <t>GLO</t>
  </si>
  <si>
    <t>42a. Global Atomic</t>
  </si>
  <si>
    <t>10a</t>
  </si>
  <si>
    <t>43. Energy Fuels</t>
  </si>
  <si>
    <t>43a. Energy Fuels</t>
  </si>
  <si>
    <t>11a</t>
  </si>
  <si>
    <t>43b. Energy Fuels</t>
  </si>
  <si>
    <t>11b</t>
  </si>
  <si>
    <t>44. Denison Mines Corp</t>
  </si>
  <si>
    <t>DNN</t>
  </si>
  <si>
    <t>44a. Denison Mines Corp</t>
  </si>
  <si>
    <t>12a</t>
  </si>
  <si>
    <t>45. Boss Energy Ltd</t>
  </si>
  <si>
    <t>BOE</t>
  </si>
  <si>
    <t>46. Karora Resources</t>
  </si>
  <si>
    <t>KRR</t>
  </si>
  <si>
    <t>47. Metalla Royalty Corp</t>
  </si>
  <si>
    <t>nvt</t>
  </si>
  <si>
    <t>Closed positions</t>
  </si>
  <si>
    <t>Results</t>
  </si>
  <si>
    <t>ticker</t>
  </si>
  <si>
    <t>date</t>
  </si>
  <si>
    <t>Resultaat 2018-20</t>
  </si>
  <si>
    <t>Resultaat 2021</t>
  </si>
  <si>
    <t>Resultaat Q1 2022</t>
  </si>
  <si>
    <t>Resultaat Q2 2022</t>
  </si>
  <si>
    <t>Short positions</t>
  </si>
  <si>
    <t>Sell date</t>
  </si>
  <si>
    <t>exch. rate sell</t>
  </si>
  <si>
    <t>Sell price</t>
  </si>
  <si>
    <t xml:space="preserve">Euro </t>
  </si>
  <si>
    <t>Amazon.com Inc</t>
  </si>
  <si>
    <t>AMZN</t>
  </si>
  <si>
    <t xml:space="preserve"> closed </t>
  </si>
  <si>
    <t>Tesla</t>
  </si>
  <si>
    <t>TSLA</t>
  </si>
  <si>
    <t>Apple Inc</t>
  </si>
  <si>
    <t>AAPL</t>
  </si>
  <si>
    <t>Currency rates</t>
  </si>
  <si>
    <t>Legenda kleurgebruik</t>
  </si>
  <si>
    <t>Amerikaanse dollar</t>
  </si>
  <si>
    <t>$</t>
  </si>
  <si>
    <t>Aandelen waarvan we 2x of 3x de gewenste hoeveelheid hebben gekocht, deze verkopen we weer bij een geringe winst</t>
  </si>
  <si>
    <t>Canadese dollar</t>
  </si>
  <si>
    <t>CAD</t>
  </si>
  <si>
    <t>Automatisch ge-update prijzen in het excelsheet</t>
  </si>
  <si>
    <t>Australische dollar</t>
  </si>
  <si>
    <t>AUD</t>
  </si>
  <si>
    <t>APY hoeveelheid (vergelijkbaar met dividend op aandelen) bij crypto's</t>
  </si>
  <si>
    <t>Engelse pond</t>
  </si>
  <si>
    <t>£</t>
  </si>
  <si>
    <t>Aandelen die op ons kooplijstje staan om de inkoopprijs te verlagen</t>
  </si>
  <si>
    <t>Aandelen waarmee we handelen en aandelen waarvan FS kunnen krijgen, m.a.w. korte termijn</t>
  </si>
  <si>
    <t>Total Finance</t>
  </si>
  <si>
    <t>CASH SPENT ON STOCKS</t>
  </si>
  <si>
    <t>PROFIT GENERATED/LOST ON STOCKS</t>
  </si>
  <si>
    <t>Capital now</t>
  </si>
  <si>
    <t>STARTCAPITAL 2020</t>
  </si>
  <si>
    <t>PROFIT/LOSS STOCKS IN PORTFOLIO</t>
  </si>
  <si>
    <t>CASH Allocation</t>
  </si>
  <si>
    <t>STARTCAPITAL 2020 + PROFIT STOCKS SOLD</t>
  </si>
  <si>
    <t>PROFIT/LOSS STOCKS SOLD</t>
  </si>
  <si>
    <t>CASH%</t>
  </si>
  <si>
    <t>STARTCAPITAL 2020 + PROFIT STOCKS SOLD+PROFIT PORTFOLIO</t>
  </si>
  <si>
    <t>TOTAL RENDEMENT 2018-21</t>
  </si>
  <si>
    <t>CHECK</t>
  </si>
  <si>
    <t>Watchlist</t>
  </si>
  <si>
    <t>Investment proposal</t>
  </si>
  <si>
    <t>Focus</t>
  </si>
  <si>
    <t>Rec. Exch rate</t>
  </si>
  <si>
    <t>Rec. Price</t>
  </si>
  <si>
    <t>Euro</t>
  </si>
  <si>
    <t>Target</t>
  </si>
  <si>
    <t>Beurs</t>
  </si>
  <si>
    <t>Buy or Sell</t>
  </si>
  <si>
    <t>Remarks &amp; Reason</t>
  </si>
  <si>
    <t>British Tabacco Ltd</t>
  </si>
  <si>
    <t>BATS</t>
  </si>
  <si>
    <t>LSE</t>
  </si>
  <si>
    <t>Buy</t>
  </si>
  <si>
    <t>Buy on a dip on overall market be patient/ Big dividends</t>
  </si>
  <si>
    <t>B2Gold Corporation</t>
  </si>
  <si>
    <t>BTG</t>
  </si>
  <si>
    <t>NYSE</t>
  </si>
  <si>
    <t>Buy on dip in gold/ gold dividend stock</t>
  </si>
  <si>
    <t>Newmont Corporation</t>
  </si>
  <si>
    <t>NEM</t>
  </si>
  <si>
    <t>Fortescue Metals</t>
  </si>
  <si>
    <t>FMG</t>
  </si>
  <si>
    <t>ASX</t>
  </si>
  <si>
    <t>Buy on dip in stock on 200 day SMA/ 23% dividend stock</t>
  </si>
  <si>
    <t>Snowline Gold Corp</t>
  </si>
  <si>
    <t>SGD</t>
  </si>
  <si>
    <t>*</t>
  </si>
  <si>
    <t>TSX</t>
  </si>
  <si>
    <t>Buy on recent dip in Gold</t>
  </si>
  <si>
    <t>Star Royalties Ltd</t>
  </si>
  <si>
    <t>STRR</t>
  </si>
  <si>
    <t>BUY</t>
  </si>
  <si>
    <t>Neo Metals</t>
  </si>
  <si>
    <t>NMT</t>
  </si>
  <si>
    <t xml:space="preserve">Buy on dip </t>
  </si>
  <si>
    <t>Largo resources</t>
  </si>
  <si>
    <t>LGO</t>
  </si>
  <si>
    <t>Bushveld Minerals</t>
  </si>
  <si>
    <t>Silver Hammer</t>
  </si>
  <si>
    <t>HAMRF</t>
  </si>
  <si>
    <t>OTC</t>
  </si>
  <si>
    <t>Black Stone Minerals</t>
  </si>
  <si>
    <t>BSM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</si>
</sst>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[$-F800]dddd\,\ mmmm\ dd\,\ yyyy"/>
    <numFmt numFmtId="165" formatCode="_([$€-2]\ * #,##0_);_([$€-2]\ * \(#,##0\);_([$€-2]\ * &quot;-&quot;??_);_(@_)"/>
    <numFmt numFmtId="166" formatCode="0.0%"/>
    <numFmt numFmtId="167" formatCode="0.0000"/>
    <numFmt numFmtId="168" formatCode="_(* #,##0.000_);_(* \(#,##0.000\);_(* &quot;-&quot;??_);_(@_)"/>
    <numFmt numFmtId="169" formatCode="0.000"/>
    <numFmt numFmtId="170" formatCode="_(* #,##0_);_(* \(#,##0\);_(* &quot;-&quot;??_);_(@_)"/>
    <numFmt numFmtId="171" formatCode="_([$€-2]\ * #,##0.00_);_([$€-2]\ * \(#,##0.00\);_([$€-2]\ * &quot;-&quot;??_);_(@_)"/>
    <numFmt numFmtId="172" formatCode="_(* #,##0.0000_);_(* \(#,##0.0000\);_(* &quot;-&quot;??_);_(@_)"/>
    <numFmt numFmtId="173" formatCode="_(&quot;€&quot;\ * #,##0_);_(&quot;€&quot;\ * \(#,##0\);_(&quot;€&quot;\ * &quot;-&quot;??_);_(@_)"/>
    <numFmt numFmtId="174" formatCode="_ [$€-413]\ * #,##0_ ;_ [$€-413]\ * \-#,##0_ ;_ [$€-413]\ * &quot;-&quot;??_ ;_ @_ 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164" fontId="2" fillId="2" borderId="1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6" fontId="3" fillId="3" borderId="1" xfId="3" applyNumberFormat="1" applyFont="1" applyFill="1" applyBorder="1"/>
    <xf numFmtId="165" fontId="3" fillId="3" borderId="2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9" fontId="3" fillId="3" borderId="1" xfId="3" applyFont="1" applyFill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0" fontId="5" fillId="0" borderId="1" xfId="0" applyFont="1" applyBorder="1"/>
    <xf numFmtId="0" fontId="3" fillId="4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/>
    <xf numFmtId="167" fontId="4" fillId="0" borderId="1" xfId="0" applyNumberFormat="1" applyFont="1" applyBorder="1"/>
    <xf numFmtId="43" fontId="4" fillId="0" borderId="1" xfId="1" applyFont="1" applyBorder="1"/>
    <xf numFmtId="165" fontId="4" fillId="0" borderId="1" xfId="0" applyNumberFormat="1" applyFont="1" applyBorder="1"/>
    <xf numFmtId="2" fontId="6" fillId="4" borderId="5" xfId="0" applyNumberFormat="1" applyFont="1" applyFill="1" applyBorder="1"/>
    <xf numFmtId="2" fontId="4" fillId="0" borderId="1" xfId="0" applyNumberFormat="1" applyFont="1" applyBorder="1"/>
    <xf numFmtId="166" fontId="7" fillId="0" borderId="1" xfId="3" applyNumberFormat="1" applyFont="1" applyBorder="1"/>
    <xf numFmtId="165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4" fillId="5" borderId="1" xfId="0" applyFont="1" applyFill="1" applyBorder="1"/>
    <xf numFmtId="43" fontId="7" fillId="0" borderId="1" xfId="0" applyNumberFormat="1" applyFont="1" applyBorder="1" applyAlignment="1">
      <alignment horizontal="center"/>
    </xf>
    <xf numFmtId="0" fontId="4" fillId="6" borderId="1" xfId="0" applyFont="1" applyFill="1" applyBorder="1"/>
    <xf numFmtId="166" fontId="8" fillId="0" borderId="1" xfId="3" applyNumberFormat="1" applyFont="1" applyBorder="1"/>
    <xf numFmtId="2" fontId="6" fillId="4" borderId="1" xfId="0" applyNumberFormat="1" applyFont="1" applyFill="1" applyBorder="1"/>
    <xf numFmtId="1" fontId="4" fillId="0" borderId="1" xfId="0" applyNumberFormat="1" applyFont="1" applyBorder="1"/>
    <xf numFmtId="0" fontId="8" fillId="0" borderId="1" xfId="3" applyNumberFormat="1" applyFont="1" applyBorder="1"/>
    <xf numFmtId="168" fontId="4" fillId="0" borderId="1" xfId="1" applyNumberFormat="1" applyFont="1" applyBorder="1"/>
    <xf numFmtId="169" fontId="6" fillId="4" borderId="1" xfId="0" applyNumberFormat="1" applyFont="1" applyFill="1" applyBorder="1"/>
    <xf numFmtId="2" fontId="4" fillId="4" borderId="1" xfId="0" applyNumberFormat="1" applyFont="1" applyFill="1" applyBorder="1"/>
    <xf numFmtId="0" fontId="4" fillId="0" borderId="1" xfId="0" applyFont="1" applyBorder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1" fontId="3" fillId="3" borderId="2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43" fontId="4" fillId="4" borderId="1" xfId="1" applyFont="1" applyFill="1" applyBorder="1" applyAlignment="1">
      <alignment horizontal="right"/>
    </xf>
    <xf numFmtId="166" fontId="7" fillId="0" borderId="1" xfId="3" applyNumberFormat="1" applyFont="1" applyFill="1" applyBorder="1"/>
    <xf numFmtId="1" fontId="4" fillId="4" borderId="1" xfId="0" applyNumberFormat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6" fillId="4" borderId="1" xfId="0" applyNumberFormat="1" applyFont="1" applyFill="1" applyBorder="1"/>
    <xf numFmtId="0" fontId="4" fillId="0" borderId="4" xfId="0" applyFont="1" applyBorder="1" applyAlignment="1">
      <alignment horizontal="right"/>
    </xf>
    <xf numFmtId="2" fontId="4" fillId="3" borderId="2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2" fontId="4" fillId="7" borderId="1" xfId="0" applyNumberFormat="1" applyFont="1" applyFill="1" applyBorder="1"/>
    <xf numFmtId="0" fontId="6" fillId="0" borderId="1" xfId="0" applyFont="1" applyBorder="1"/>
    <xf numFmtId="14" fontId="6" fillId="0" borderId="1" xfId="0" applyNumberFormat="1" applyFont="1" applyBorder="1"/>
    <xf numFmtId="43" fontId="6" fillId="0" borderId="1" xfId="0" applyNumberFormat="1" applyFont="1" applyBorder="1"/>
    <xf numFmtId="171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70" fontId="4" fillId="0" borderId="1" xfId="0" applyNumberFormat="1" applyFont="1" applyBorder="1"/>
    <xf numFmtId="172" fontId="4" fillId="0" borderId="1" xfId="0" applyNumberFormat="1" applyFont="1" applyBorder="1"/>
    <xf numFmtId="43" fontId="4" fillId="0" borderId="1" xfId="0" applyNumberFormat="1" applyFont="1" applyBorder="1"/>
    <xf numFmtId="165" fontId="4" fillId="0" borderId="1" xfId="2" applyNumberFormat="1" applyFont="1" applyBorder="1"/>
    <xf numFmtId="173" fontId="4" fillId="0" borderId="1" xfId="2" applyNumberFormat="1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43" fontId="10" fillId="0" borderId="1" xfId="0" applyNumberFormat="1" applyFont="1" applyBorder="1" applyAlignment="1">
      <alignment horizontal="center"/>
    </xf>
    <xf numFmtId="43" fontId="4" fillId="0" borderId="1" xfId="1" applyFont="1" applyFill="1" applyBorder="1"/>
    <xf numFmtId="166" fontId="8" fillId="0" borderId="1" xfId="3" applyNumberFormat="1" applyFont="1" applyFill="1" applyBorder="1"/>
    <xf numFmtId="43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0" borderId="6" xfId="0" applyFont="1" applyBorder="1"/>
    <xf numFmtId="167" fontId="3" fillId="0" borderId="1" xfId="0" applyNumberFormat="1" applyFont="1" applyBorder="1"/>
    <xf numFmtId="43" fontId="3" fillId="0" borderId="1" xfId="1" applyFont="1" applyBorder="1"/>
    <xf numFmtId="165" fontId="3" fillId="0" borderId="1" xfId="0" applyNumberFormat="1" applyFont="1" applyBorder="1"/>
    <xf numFmtId="2" fontId="11" fillId="0" borderId="5" xfId="0" applyNumberFormat="1" applyFont="1" applyBorder="1"/>
    <xf numFmtId="166" fontId="4" fillId="0" borderId="1" xfId="3" applyNumberFormat="1" applyFont="1" applyBorder="1"/>
    <xf numFmtId="2" fontId="6" fillId="0" borderId="1" xfId="0" applyNumberFormat="1" applyFont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14" fontId="4" fillId="0" borderId="3" xfId="0" applyNumberFormat="1" applyFont="1" applyBorder="1"/>
    <xf numFmtId="0" fontId="3" fillId="3" borderId="3" xfId="0" applyFont="1" applyFill="1" applyBorder="1"/>
    <xf numFmtId="0" fontId="3" fillId="3" borderId="1" xfId="0" applyFont="1" applyFill="1" applyBorder="1" applyAlignment="1">
      <alignment horizontal="left"/>
    </xf>
    <xf numFmtId="167" fontId="4" fillId="4" borderId="1" xfId="0" applyNumberFormat="1" applyFont="1" applyFill="1" applyBorder="1"/>
    <xf numFmtId="0" fontId="4" fillId="6" borderId="2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/>
    </xf>
    <xf numFmtId="0" fontId="4" fillId="9" borderId="3" xfId="0" applyFont="1" applyFill="1" applyBorder="1" applyAlignment="1">
      <alignment horizontal="left"/>
    </xf>
    <xf numFmtId="0" fontId="4" fillId="9" borderId="4" xfId="0" applyFont="1" applyFill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17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73" fontId="3" fillId="0" borderId="1" xfId="2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7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74" fontId="3" fillId="0" borderId="1" xfId="0" applyNumberFormat="1" applyFont="1" applyBorder="1"/>
    <xf numFmtId="174" fontId="3" fillId="0" borderId="1" xfId="3" applyNumberFormat="1" applyFont="1" applyBorder="1" applyAlignment="1">
      <alignment horizontal="right"/>
    </xf>
    <xf numFmtId="9" fontId="3" fillId="0" borderId="1" xfId="3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166" fontId="3" fillId="0" borderId="1" xfId="3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70" fontId="4" fillId="0" borderId="1" xfId="1" applyNumberFormat="1" applyFont="1" applyFill="1" applyBorder="1"/>
    <xf numFmtId="170" fontId="4" fillId="0" borderId="1" xfId="1" applyNumberFormat="1" applyFont="1" applyFill="1" applyBorder="1" applyAlignment="1">
      <alignment horizontal="right"/>
    </xf>
    <xf numFmtId="165" fontId="4" fillId="0" borderId="2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08d4e1cd3418f22/Documenten/1.%20Tabellen%20voor%20nieuwsbrief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crypto"/>
      <sheetName val="2021"/>
      <sheetName val="Copper plays"/>
      <sheetName val="Metals all"/>
      <sheetName val="Highscore List"/>
      <sheetName val="6B "/>
      <sheetName val="Top 10x"/>
      <sheetName val="Optie cal"/>
      <sheetName val="Crescat"/>
      <sheetName val="Formules"/>
      <sheetName val="Dividend"/>
      <sheetName val="Gouddichtheid"/>
      <sheetName val="Watchlist"/>
      <sheetName val="2020"/>
      <sheetName val="2019"/>
      <sheetName val="Opties"/>
      <sheetName val="SHORT"/>
      <sheetName val="Blad1"/>
      <sheetName val="Blad4"/>
      <sheetName val="Blad3"/>
      <sheetName val="2018"/>
      <sheetName val="Mijnen"/>
      <sheetName val="Blad2"/>
      <sheetName val="Stockpicking"/>
      <sheetName val="BEARMARKET SURVIVAL"/>
    </sheetNames>
    <sheetDataSet>
      <sheetData sheetId="0">
        <row r="3">
          <cell r="D3">
            <v>0.99641291351135908</v>
          </cell>
          <cell r="G3">
            <v>3.46</v>
          </cell>
          <cell r="J3">
            <v>0.43</v>
          </cell>
          <cell r="M3">
            <v>3.4</v>
          </cell>
          <cell r="P3">
            <v>0.28000000000000003</v>
          </cell>
        </row>
        <row r="4">
          <cell r="D4">
            <v>1.3430029546065001</v>
          </cell>
          <cell r="M4">
            <v>1.18</v>
          </cell>
          <cell r="P4">
            <v>1.71</v>
          </cell>
        </row>
        <row r="5">
          <cell r="D5">
            <v>1.5410695022345506</v>
          </cell>
          <cell r="G5">
            <v>45.5</v>
          </cell>
          <cell r="M5">
            <v>3.82</v>
          </cell>
          <cell r="P5">
            <v>0.24</v>
          </cell>
        </row>
        <row r="6">
          <cell r="D6">
            <v>0.87596355991590757</v>
          </cell>
          <cell r="M6">
            <v>6.91</v>
          </cell>
          <cell r="P6">
            <v>0.54</v>
          </cell>
          <cell r="S6">
            <v>8.9600000000000009</v>
          </cell>
        </row>
        <row r="7">
          <cell r="G7">
            <v>28.79</v>
          </cell>
          <cell r="J7">
            <v>5.0599999999999996</v>
          </cell>
          <cell r="M7">
            <v>2.0499999999999998</v>
          </cell>
          <cell r="W7">
            <v>3376.5</v>
          </cell>
        </row>
        <row r="8">
          <cell r="G8">
            <v>54.27</v>
          </cell>
          <cell r="J8">
            <v>34.299999999999997</v>
          </cell>
          <cell r="M8">
            <v>3.3</v>
          </cell>
          <cell r="P8">
            <v>22.85</v>
          </cell>
          <cell r="S8">
            <v>126.95</v>
          </cell>
          <cell r="W8">
            <v>40.99</v>
          </cell>
        </row>
        <row r="9">
          <cell r="G9">
            <v>25.35</v>
          </cell>
          <cell r="M9">
            <v>0.65</v>
          </cell>
          <cell r="P9">
            <v>0.125</v>
          </cell>
          <cell r="S9">
            <v>5.0599999999999996</v>
          </cell>
          <cell r="W9">
            <v>3.16</v>
          </cell>
        </row>
        <row r="10">
          <cell r="C10">
            <v>90.98</v>
          </cell>
          <cell r="G10">
            <v>17.38</v>
          </cell>
          <cell r="J10">
            <v>3.14</v>
          </cell>
          <cell r="M10">
            <v>6.5000000000000002E-2</v>
          </cell>
          <cell r="S10">
            <v>4.71</v>
          </cell>
          <cell r="W10">
            <v>53.04</v>
          </cell>
        </row>
        <row r="11">
          <cell r="C11">
            <v>207.47</v>
          </cell>
          <cell r="G11">
            <v>34.07</v>
          </cell>
          <cell r="J11">
            <v>5.4</v>
          </cell>
          <cell r="M11">
            <v>0.36499999999999999</v>
          </cell>
          <cell r="S11">
            <v>3.99</v>
          </cell>
          <cell r="W11">
            <v>58.34</v>
          </cell>
        </row>
        <row r="12">
          <cell r="C12">
            <v>138.38</v>
          </cell>
          <cell r="G12">
            <v>34.35</v>
          </cell>
          <cell r="J12">
            <v>0.245</v>
          </cell>
          <cell r="M12">
            <v>2.6</v>
          </cell>
          <cell r="S12">
            <v>0.18</v>
          </cell>
          <cell r="W12">
            <v>15.87</v>
          </cell>
        </row>
        <row r="13">
          <cell r="G13">
            <v>19.420000000000002</v>
          </cell>
          <cell r="J13">
            <v>7.2</v>
          </cell>
          <cell r="W13">
            <v>2.57</v>
          </cell>
        </row>
        <row r="14">
          <cell r="J14">
            <v>13.65</v>
          </cell>
          <cell r="M14">
            <v>0.745</v>
          </cell>
          <cell r="S14">
            <v>4.13</v>
          </cell>
          <cell r="W14">
            <v>0.4</v>
          </cell>
        </row>
        <row r="15">
          <cell r="J15">
            <v>0.34499999999999997</v>
          </cell>
          <cell r="M15">
            <v>1.83</v>
          </cell>
          <cell r="T15">
            <v>2.9248079505774913</v>
          </cell>
          <cell r="W15">
            <v>1.095</v>
          </cell>
        </row>
        <row r="16">
          <cell r="J16">
            <v>2.42</v>
          </cell>
          <cell r="M16">
            <v>0.22500000000000001</v>
          </cell>
          <cell r="S16">
            <v>1.24</v>
          </cell>
          <cell r="W16">
            <v>6.1</v>
          </cell>
        </row>
        <row r="17">
          <cell r="J17">
            <v>0.20499999999999999</v>
          </cell>
          <cell r="M17">
            <v>1.0549999999999999</v>
          </cell>
          <cell r="S17">
            <v>10.37</v>
          </cell>
          <cell r="W17">
            <v>5</v>
          </cell>
        </row>
        <row r="18">
          <cell r="J18">
            <v>0.28000000000000003</v>
          </cell>
          <cell r="M18">
            <v>0.215</v>
          </cell>
          <cell r="S18">
            <v>3.85</v>
          </cell>
          <cell r="W18">
            <v>282</v>
          </cell>
        </row>
        <row r="19">
          <cell r="J19">
            <v>3.62</v>
          </cell>
          <cell r="M19">
            <v>0.56999999999999995</v>
          </cell>
          <cell r="S19">
            <v>0.84499999999999997</v>
          </cell>
          <cell r="W19">
            <v>0.2</v>
          </cell>
        </row>
        <row r="20">
          <cell r="J20">
            <v>0.67</v>
          </cell>
          <cell r="S20">
            <v>0.18</v>
          </cell>
        </row>
        <row r="21">
          <cell r="J21">
            <v>9.6</v>
          </cell>
          <cell r="W21">
            <v>0.71</v>
          </cell>
        </row>
        <row r="23">
          <cell r="J23">
            <v>1.25</v>
          </cell>
        </row>
        <row r="24">
          <cell r="W24">
            <v>0.46500000000000002</v>
          </cell>
        </row>
        <row r="25">
          <cell r="W25">
            <v>0.32800000000000001</v>
          </cell>
        </row>
        <row r="26">
          <cell r="J26">
            <v>3.23</v>
          </cell>
        </row>
        <row r="27">
          <cell r="W27">
            <v>14.39</v>
          </cell>
        </row>
        <row r="28">
          <cell r="J28">
            <v>0.2</v>
          </cell>
        </row>
        <row r="32">
          <cell r="J32">
            <v>0.28000000000000003</v>
          </cell>
        </row>
        <row r="35">
          <cell r="J35">
            <v>0.32</v>
          </cell>
        </row>
        <row r="36">
          <cell r="J36">
            <v>1.57</v>
          </cell>
        </row>
        <row r="37">
          <cell r="J37">
            <v>0.02</v>
          </cell>
        </row>
        <row r="39">
          <cell r="J39">
            <v>0.35499999999999998</v>
          </cell>
        </row>
        <row r="40">
          <cell r="J40">
            <v>0.1925</v>
          </cell>
        </row>
        <row r="41">
          <cell r="J41">
            <v>0.495</v>
          </cell>
        </row>
        <row r="43">
          <cell r="J43">
            <v>0.09</v>
          </cell>
        </row>
        <row r="44">
          <cell r="J44">
            <v>1.25</v>
          </cell>
        </row>
        <row r="45">
          <cell r="J45">
            <v>0.2</v>
          </cell>
        </row>
        <row r="46">
          <cell r="J46">
            <v>1.0900000000000001</v>
          </cell>
        </row>
        <row r="47">
          <cell r="J47">
            <v>7.4999999999999997E-2</v>
          </cell>
        </row>
        <row r="48">
          <cell r="J48">
            <v>1.86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P3">
            <v>1.02</v>
          </cell>
        </row>
        <row r="4">
          <cell r="P4">
            <v>0.99</v>
          </cell>
        </row>
        <row r="6">
          <cell r="P6">
            <v>7.12</v>
          </cell>
        </row>
        <row r="9">
          <cell r="P9">
            <v>1.2</v>
          </cell>
        </row>
        <row r="10">
          <cell r="P10">
            <v>0.10500000000000001</v>
          </cell>
        </row>
        <row r="11">
          <cell r="P11">
            <v>6.7000000000000004E-2</v>
          </cell>
        </row>
        <row r="12">
          <cell r="P12">
            <v>0.75</v>
          </cell>
        </row>
        <row r="13">
          <cell r="P13">
            <v>4</v>
          </cell>
        </row>
        <row r="14">
          <cell r="P14">
            <v>0.03</v>
          </cell>
        </row>
        <row r="15">
          <cell r="P15">
            <v>0.33999999999999997</v>
          </cell>
        </row>
        <row r="16">
          <cell r="P16">
            <v>0.7</v>
          </cell>
        </row>
        <row r="18">
          <cell r="P18">
            <v>0.64</v>
          </cell>
        </row>
        <row r="19">
          <cell r="K19">
            <v>3.48</v>
          </cell>
        </row>
        <row r="20">
          <cell r="P20">
            <v>2.67</v>
          </cell>
        </row>
        <row r="21">
          <cell r="P21">
            <v>1.07</v>
          </cell>
        </row>
        <row r="22">
          <cell r="P22">
            <v>3</v>
          </cell>
        </row>
        <row r="25">
          <cell r="P25">
            <v>4.1300000000000008</v>
          </cell>
        </row>
        <row r="45">
          <cell r="P45">
            <v>4.9000000000000009E-2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C1BF-2C4B-7C4F-81AF-98B73FD0D85B}">
  <dimension ref="A1:P192"/>
  <sheetViews>
    <sheetView tabSelected="1" workbookViewId="0">
      <selection activeCell="R8" sqref="R8"/>
    </sheetView>
  </sheetViews>
  <sheetFormatPr baseColWidth="10" defaultRowHeight="16" x14ac:dyDescent="0.2"/>
  <cols>
    <col min="1" max="1" width="25.33203125" bestFit="1" customWidth="1"/>
    <col min="2" max="2" width="5.1640625" bestFit="1" customWidth="1"/>
    <col min="3" max="3" width="6.83203125" bestFit="1" customWidth="1"/>
    <col min="4" max="4" width="4.5" bestFit="1" customWidth="1"/>
    <col min="5" max="5" width="6.6640625" bestFit="1" customWidth="1"/>
    <col min="6" max="6" width="6.1640625" bestFit="1" customWidth="1"/>
    <col min="7" max="7" width="6.6640625" bestFit="1" customWidth="1"/>
    <col min="8" max="9" width="6.1640625" bestFit="1" customWidth="1"/>
    <col min="10" max="10" width="7" bestFit="1" customWidth="1"/>
    <col min="11" max="11" width="5.6640625" customWidth="1"/>
    <col min="12" max="12" width="6.33203125" bestFit="1" customWidth="1"/>
    <col min="13" max="13" width="9.6640625" bestFit="1" customWidth="1"/>
    <col min="14" max="14" width="4.1640625" bestFit="1" customWidth="1"/>
    <col min="15" max="15" width="6" bestFit="1" customWidth="1"/>
    <col min="16" max="16" width="6.1640625" bestFit="1" customWidth="1"/>
  </cols>
  <sheetData>
    <row r="1" spans="1:16" x14ac:dyDescent="0.2">
      <c r="A1" s="1">
        <f ca="1">TODAY()</f>
        <v>44871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2" t="s">
        <v>0</v>
      </c>
      <c r="B2" s="3"/>
      <c r="C2" s="3"/>
      <c r="D2" s="3"/>
      <c r="E2" s="3"/>
      <c r="F2" s="4"/>
      <c r="G2" s="5"/>
      <c r="H2" s="6"/>
      <c r="I2" s="6"/>
      <c r="J2" s="6"/>
      <c r="K2" s="7"/>
      <c r="L2" s="8" t="s">
        <v>1</v>
      </c>
      <c r="M2" s="9">
        <f>SUM(K4:K23)</f>
        <v>15055.110060000003</v>
      </c>
      <c r="N2" s="10"/>
      <c r="O2" s="11"/>
      <c r="P2" s="12">
        <f>M2/P175</f>
        <v>0.26453907938151522</v>
      </c>
    </row>
    <row r="3" spans="1:16" x14ac:dyDescent="0.2">
      <c r="A3" s="13" t="s">
        <v>2</v>
      </c>
      <c r="B3" s="13" t="s">
        <v>3</v>
      </c>
      <c r="C3" s="14" t="s">
        <v>4</v>
      </c>
      <c r="D3" s="13" t="s">
        <v>5</v>
      </c>
      <c r="E3" s="15" t="s">
        <v>6</v>
      </c>
      <c r="F3" s="13" t="s">
        <v>7</v>
      </c>
      <c r="G3" s="13" t="s">
        <v>8</v>
      </c>
      <c r="H3" s="16" t="s">
        <v>9</v>
      </c>
      <c r="I3" s="13" t="s">
        <v>10</v>
      </c>
      <c r="J3" s="15" t="s">
        <v>11</v>
      </c>
      <c r="K3" s="13" t="s">
        <v>12</v>
      </c>
      <c r="L3" s="13" t="s">
        <v>13</v>
      </c>
      <c r="M3" s="17" t="s">
        <v>14</v>
      </c>
      <c r="N3" s="18" t="s">
        <v>15</v>
      </c>
      <c r="O3" s="19" t="s">
        <v>16</v>
      </c>
      <c r="P3" s="17" t="s">
        <v>17</v>
      </c>
    </row>
    <row r="4" spans="1:16" x14ac:dyDescent="0.2">
      <c r="A4" s="20" t="s">
        <v>18</v>
      </c>
      <c r="B4" s="20" t="s">
        <v>19</v>
      </c>
      <c r="C4" s="21">
        <v>44193</v>
      </c>
      <c r="D4" s="20">
        <v>100</v>
      </c>
      <c r="E4" s="22">
        <v>1.1766000000000001</v>
      </c>
      <c r="F4" s="23">
        <v>6.32</v>
      </c>
      <c r="G4" s="24">
        <f t="shared" ref="G4:G103" si="0">(F4*D4)/E4</f>
        <v>537.14091449940497</v>
      </c>
      <c r="H4" s="25">
        <f>'[1]auto data'!J7</f>
        <v>5.0599999999999996</v>
      </c>
      <c r="I4" s="26">
        <f>[1]Dividend!P11</f>
        <v>6.7000000000000004E-2</v>
      </c>
      <c r="J4" s="22">
        <f>C169</f>
        <v>0.99641291351135908</v>
      </c>
      <c r="K4" s="24">
        <f>((H4+I4)/J4)*D4</f>
        <v>514.54571999999996</v>
      </c>
      <c r="L4" s="27">
        <f t="shared" ref="L4:L19" si="1">(K4-G4)/G4</f>
        <v>-4.2065673810126492E-2</v>
      </c>
      <c r="M4" s="28">
        <f t="shared" ref="M4:M24" si="2">K4-G4</f>
        <v>-22.595194499405011</v>
      </c>
      <c r="N4" s="29">
        <v>8.91</v>
      </c>
      <c r="O4" s="30">
        <f>(N4+I4)*0.75</f>
        <v>6.7327500000000002</v>
      </c>
      <c r="P4" s="31">
        <f t="shared" ref="P4:P19" si="3">O4-F4</f>
        <v>0.41274999999999995</v>
      </c>
    </row>
    <row r="5" spans="1:16" x14ac:dyDescent="0.2">
      <c r="A5" s="32" t="s">
        <v>20</v>
      </c>
      <c r="B5" s="20" t="s">
        <v>19</v>
      </c>
      <c r="C5" s="21">
        <v>44683</v>
      </c>
      <c r="D5" s="20">
        <v>100</v>
      </c>
      <c r="E5" s="22">
        <v>1.0499000000000001</v>
      </c>
      <c r="F5" s="23">
        <v>6.8250000000000002</v>
      </c>
      <c r="G5" s="24">
        <f t="shared" si="0"/>
        <v>650.0619106581579</v>
      </c>
      <c r="H5" s="25">
        <f>H4</f>
        <v>5.0599999999999996</v>
      </c>
      <c r="I5" s="26">
        <f>I4-0.032</f>
        <v>3.5000000000000003E-2</v>
      </c>
      <c r="J5" s="22">
        <f>C169</f>
        <v>0.99641291351135908</v>
      </c>
      <c r="K5" s="24">
        <f t="shared" ref="K5:K6" si="4">((H5+I5)/J5)*D5</f>
        <v>511.33420000000001</v>
      </c>
      <c r="L5" s="27">
        <f t="shared" si="1"/>
        <v>-0.21340692076190473</v>
      </c>
      <c r="M5" s="28">
        <f t="shared" si="2"/>
        <v>-138.72771065815789</v>
      </c>
      <c r="N5" s="29">
        <v>6.83</v>
      </c>
      <c r="O5" s="30">
        <f>(N5+I5)*0.75</f>
        <v>5.1487499999999997</v>
      </c>
      <c r="P5" s="33">
        <f t="shared" si="3"/>
        <v>-1.6762500000000005</v>
      </c>
    </row>
    <row r="6" spans="1:16" x14ac:dyDescent="0.2">
      <c r="A6" s="32" t="s">
        <v>21</v>
      </c>
      <c r="B6" s="20" t="s">
        <v>19</v>
      </c>
      <c r="C6" s="21">
        <v>44690</v>
      </c>
      <c r="D6" s="20">
        <v>100</v>
      </c>
      <c r="E6" s="22">
        <v>1.0529999999999999</v>
      </c>
      <c r="F6" s="23">
        <v>6.48</v>
      </c>
      <c r="G6" s="24">
        <f t="shared" si="0"/>
        <v>615.38461538461547</v>
      </c>
      <c r="H6" s="25">
        <f>H5</f>
        <v>5.0599999999999996</v>
      </c>
      <c r="I6" s="26">
        <v>0</v>
      </c>
      <c r="J6" s="22">
        <f>C169</f>
        <v>0.99641291351135908</v>
      </c>
      <c r="K6" s="24">
        <f t="shared" si="4"/>
        <v>507.82159999999993</v>
      </c>
      <c r="L6" s="27">
        <f t="shared" si="1"/>
        <v>-0.17478990000000022</v>
      </c>
      <c r="M6" s="28">
        <f t="shared" si="2"/>
        <v>-107.56301538461554</v>
      </c>
      <c r="N6" s="29">
        <v>6.48</v>
      </c>
      <c r="O6" s="30">
        <f>(N6+I6)*0.75</f>
        <v>4.8600000000000003</v>
      </c>
      <c r="P6" s="33">
        <f t="shared" si="3"/>
        <v>-1.62</v>
      </c>
    </row>
    <row r="7" spans="1:16" x14ac:dyDescent="0.2">
      <c r="A7" s="34" t="s">
        <v>22</v>
      </c>
      <c r="B7" s="20" t="s">
        <v>23</v>
      </c>
      <c r="C7" s="21">
        <v>44195</v>
      </c>
      <c r="D7" s="20">
        <v>45</v>
      </c>
      <c r="E7" s="22">
        <v>1.1637</v>
      </c>
      <c r="F7" s="23">
        <v>37.909999999999997</v>
      </c>
      <c r="G7" s="24">
        <f t="shared" si="0"/>
        <v>1465.9706109822118</v>
      </c>
      <c r="H7" s="25">
        <f>'[1]auto data'!J8</f>
        <v>34.299999999999997</v>
      </c>
      <c r="I7" s="26">
        <f>[1]Dividend!P3</f>
        <v>1.02</v>
      </c>
      <c r="J7" s="22">
        <f>C169</f>
        <v>0.99641291351135908</v>
      </c>
      <c r="K7" s="24">
        <f>((H7+I7)/J7)*D7</f>
        <v>1595.12184</v>
      </c>
      <c r="L7" s="35">
        <f t="shared" si="1"/>
        <v>8.8099466694803549E-2</v>
      </c>
      <c r="M7" s="28">
        <f t="shared" si="2"/>
        <v>129.15122901778818</v>
      </c>
      <c r="N7" s="29">
        <v>51.29</v>
      </c>
      <c r="O7" s="30">
        <f>(N7+I7)*0.75</f>
        <v>39.232500000000002</v>
      </c>
      <c r="P7" s="33">
        <f t="shared" si="3"/>
        <v>1.3225000000000051</v>
      </c>
    </row>
    <row r="8" spans="1:16" x14ac:dyDescent="0.2">
      <c r="A8" s="20" t="s">
        <v>24</v>
      </c>
      <c r="B8" s="20" t="s">
        <v>25</v>
      </c>
      <c r="C8" s="21">
        <v>44210</v>
      </c>
      <c r="D8" s="20">
        <v>200</v>
      </c>
      <c r="E8" s="22">
        <v>1.56</v>
      </c>
      <c r="F8" s="23">
        <v>2.52</v>
      </c>
      <c r="G8" s="24">
        <f t="shared" si="0"/>
        <v>323.07692307692304</v>
      </c>
      <c r="H8" s="25">
        <f>'[1]auto data'!J10</f>
        <v>3.14</v>
      </c>
      <c r="I8" s="26">
        <v>0</v>
      </c>
      <c r="J8" s="22">
        <f>C170</f>
        <v>1.3430029546065001</v>
      </c>
      <c r="K8" s="24">
        <f t="shared" ref="K8:K24" si="5">((H8+I8)/J8)*D8</f>
        <v>467.60879999999997</v>
      </c>
      <c r="L8" s="35">
        <f t="shared" si="1"/>
        <v>0.4473605714285715</v>
      </c>
      <c r="M8" s="28">
        <f t="shared" si="2"/>
        <v>144.53187692307694</v>
      </c>
      <c r="N8" s="29">
        <v>3.82</v>
      </c>
      <c r="O8" s="30">
        <f>(N8+I8)*0.66</f>
        <v>2.5211999999999999</v>
      </c>
      <c r="P8" s="31">
        <f t="shared" si="3"/>
        <v>1.1999999999998678E-3</v>
      </c>
    </row>
    <row r="9" spans="1:16" x14ac:dyDescent="0.2">
      <c r="A9" s="32" t="s">
        <v>26</v>
      </c>
      <c r="B9" s="20" t="s">
        <v>25</v>
      </c>
      <c r="C9" s="21">
        <v>44820</v>
      </c>
      <c r="D9" s="20">
        <v>200</v>
      </c>
      <c r="E9" s="22">
        <v>1.3298000000000001</v>
      </c>
      <c r="F9" s="23">
        <v>3.03</v>
      </c>
      <c r="G9" s="24">
        <f t="shared" si="0"/>
        <v>455.70762520679796</v>
      </c>
      <c r="H9" s="25">
        <f>H8</f>
        <v>3.14</v>
      </c>
      <c r="I9" s="26">
        <v>0</v>
      </c>
      <c r="J9" s="22">
        <f>C170</f>
        <v>1.3430029546065001</v>
      </c>
      <c r="K9" s="24">
        <f t="shared" si="5"/>
        <v>467.60879999999997</v>
      </c>
      <c r="L9" s="35">
        <f t="shared" si="1"/>
        <v>2.6115812277227795E-2</v>
      </c>
      <c r="M9" s="28">
        <f t="shared" si="2"/>
        <v>11.901174793202017</v>
      </c>
      <c r="N9" s="29">
        <v>3.03</v>
      </c>
      <c r="O9" s="30">
        <f>(N9+I9)*0.66</f>
        <v>1.9998</v>
      </c>
      <c r="P9" s="33">
        <f t="shared" si="3"/>
        <v>-1.0301999999999998</v>
      </c>
    </row>
    <row r="10" spans="1:16" x14ac:dyDescent="0.2">
      <c r="A10" s="20" t="s">
        <v>27</v>
      </c>
      <c r="B10" s="20" t="s">
        <v>28</v>
      </c>
      <c r="C10" s="21">
        <v>44211</v>
      </c>
      <c r="D10" s="20">
        <v>50</v>
      </c>
      <c r="E10" s="22">
        <v>1.1615</v>
      </c>
      <c r="F10" s="23">
        <v>8.2349999999999994</v>
      </c>
      <c r="G10" s="24">
        <f t="shared" si="0"/>
        <v>354.49849332759362</v>
      </c>
      <c r="H10" s="25">
        <f>'[1]auto data'!J11</f>
        <v>5.4</v>
      </c>
      <c r="I10" s="26">
        <v>0</v>
      </c>
      <c r="J10" s="22">
        <f>C169</f>
        <v>0.99641291351135908</v>
      </c>
      <c r="K10" s="24">
        <f t="shared" si="5"/>
        <v>270.97200000000004</v>
      </c>
      <c r="L10" s="27">
        <f t="shared" si="1"/>
        <v>-0.23561875409836053</v>
      </c>
      <c r="M10" s="28">
        <f t="shared" si="2"/>
        <v>-83.526493327593585</v>
      </c>
      <c r="N10" s="29">
        <v>10.15</v>
      </c>
      <c r="O10" s="30">
        <f>(N10+I10)*0.66</f>
        <v>6.6990000000000007</v>
      </c>
      <c r="P10" s="33">
        <f t="shared" si="3"/>
        <v>-1.5359999999999987</v>
      </c>
    </row>
    <row r="11" spans="1:16" x14ac:dyDescent="0.2">
      <c r="A11" s="20" t="s">
        <v>29</v>
      </c>
      <c r="B11" s="20" t="s">
        <v>30</v>
      </c>
      <c r="C11" s="21">
        <v>44250</v>
      </c>
      <c r="D11" s="20">
        <v>200</v>
      </c>
      <c r="E11" s="22">
        <v>1.1871</v>
      </c>
      <c r="F11" s="23">
        <v>8.9</v>
      </c>
      <c r="G11" s="24">
        <f t="shared" si="0"/>
        <v>1499.4524471400891</v>
      </c>
      <c r="H11" s="25">
        <f>'[1]auto data'!J13</f>
        <v>7.2</v>
      </c>
      <c r="I11" s="26">
        <v>0</v>
      </c>
      <c r="J11" s="22">
        <f>C169</f>
        <v>0.99641291351135908</v>
      </c>
      <c r="K11" s="24">
        <f t="shared" si="5"/>
        <v>1445.184</v>
      </c>
      <c r="L11" s="27">
        <f t="shared" si="1"/>
        <v>-3.6192176179775201E-2</v>
      </c>
      <c r="M11" s="28">
        <f t="shared" si="2"/>
        <v>-54.268447140089165</v>
      </c>
      <c r="N11" s="29">
        <v>10.07</v>
      </c>
      <c r="O11" s="30">
        <f>(N11+I11)*0.75</f>
        <v>7.5525000000000002</v>
      </c>
      <c r="P11" s="33">
        <f t="shared" si="3"/>
        <v>-1.3475000000000001</v>
      </c>
    </row>
    <row r="12" spans="1:16" x14ac:dyDescent="0.2">
      <c r="A12" s="20" t="s">
        <v>31</v>
      </c>
      <c r="B12" s="20" t="s">
        <v>32</v>
      </c>
      <c r="C12" s="21">
        <v>44295</v>
      </c>
      <c r="D12" s="20">
        <v>200</v>
      </c>
      <c r="E12" s="22">
        <v>1.1847000000000001</v>
      </c>
      <c r="F12" s="23">
        <v>18.54</v>
      </c>
      <c r="G12" s="24">
        <f t="shared" si="0"/>
        <v>3129.9063053937703</v>
      </c>
      <c r="H12" s="25">
        <f>'[1]auto data'!J14</f>
        <v>13.65</v>
      </c>
      <c r="I12" s="26">
        <v>0</v>
      </c>
      <c r="J12" s="22">
        <f>C169</f>
        <v>0.99641291351135908</v>
      </c>
      <c r="K12" s="24">
        <f t="shared" si="5"/>
        <v>2739.8280000000004</v>
      </c>
      <c r="L12" s="27">
        <f t="shared" si="1"/>
        <v>-0.12462938737864054</v>
      </c>
      <c r="M12" s="28">
        <f t="shared" si="2"/>
        <v>-390.07830539376982</v>
      </c>
      <c r="N12" s="29">
        <v>20.2</v>
      </c>
      <c r="O12" s="30">
        <f>(N12+I12)*0.75</f>
        <v>15.149999999999999</v>
      </c>
      <c r="P12" s="33">
        <f t="shared" si="3"/>
        <v>-3.3900000000000006</v>
      </c>
    </row>
    <row r="13" spans="1:16" x14ac:dyDescent="0.2">
      <c r="A13" s="20" t="s">
        <v>33</v>
      </c>
      <c r="B13" s="20" t="s">
        <v>34</v>
      </c>
      <c r="C13" s="21">
        <v>44313</v>
      </c>
      <c r="D13" s="20">
        <v>3000</v>
      </c>
      <c r="E13" s="22">
        <v>1.4043000000000001</v>
      </c>
      <c r="F13" s="23">
        <v>0.25169999999999998</v>
      </c>
      <c r="G13" s="24">
        <f t="shared" si="0"/>
        <v>537.70561845759448</v>
      </c>
      <c r="H13" s="25">
        <f>'[1]auto data'!J15</f>
        <v>0.34499999999999997</v>
      </c>
      <c r="I13" s="26">
        <v>0</v>
      </c>
      <c r="J13" s="22">
        <f>C170</f>
        <v>1.3430029546065001</v>
      </c>
      <c r="K13" s="24">
        <f t="shared" si="5"/>
        <v>770.66099999999994</v>
      </c>
      <c r="L13" s="35">
        <f t="shared" si="1"/>
        <v>0.4332396269368296</v>
      </c>
      <c r="M13" s="28">
        <f t="shared" si="2"/>
        <v>232.95538154240546</v>
      </c>
      <c r="N13" s="29">
        <v>0.44</v>
      </c>
      <c r="O13" s="30">
        <f>(N13+I13)*0.5</f>
        <v>0.22</v>
      </c>
      <c r="P13" s="33">
        <f t="shared" si="3"/>
        <v>-3.1699999999999978E-2</v>
      </c>
    </row>
    <row r="14" spans="1:16" x14ac:dyDescent="0.2">
      <c r="A14" s="20" t="s">
        <v>35</v>
      </c>
      <c r="B14" s="20" t="s">
        <v>36</v>
      </c>
      <c r="C14" s="21">
        <v>44341</v>
      </c>
      <c r="D14" s="20">
        <v>300</v>
      </c>
      <c r="E14" s="22">
        <v>1.1656</v>
      </c>
      <c r="F14" s="23">
        <v>4.16</v>
      </c>
      <c r="G14" s="24">
        <f t="shared" si="0"/>
        <v>1070.6932052161976</v>
      </c>
      <c r="H14" s="25">
        <f>'[1]auto data'!J16</f>
        <v>2.42</v>
      </c>
      <c r="I14" s="26">
        <f>[1]Dividend!P14</f>
        <v>0.03</v>
      </c>
      <c r="J14" s="22">
        <f>C169</f>
        <v>0.99641291351135908</v>
      </c>
      <c r="K14" s="24">
        <f>((H14+I14)/J14)*D14+349</f>
        <v>1086.646</v>
      </c>
      <c r="L14" s="35">
        <f t="shared" si="1"/>
        <v>1.4899501282051295E-2</v>
      </c>
      <c r="M14" s="28">
        <f t="shared" si="2"/>
        <v>15.952794783802347</v>
      </c>
      <c r="N14" s="29">
        <v>5.0999999999999996</v>
      </c>
      <c r="O14" s="30">
        <f t="shared" ref="O14:O23" si="6">(N14+I14)*0.66</f>
        <v>3.3858000000000001</v>
      </c>
      <c r="P14" s="33">
        <f t="shared" si="3"/>
        <v>-0.7742</v>
      </c>
    </row>
    <row r="15" spans="1:16" x14ac:dyDescent="0.2">
      <c r="A15" s="32" t="s">
        <v>37</v>
      </c>
      <c r="B15" s="20" t="s">
        <v>36</v>
      </c>
      <c r="C15" s="21">
        <v>44840</v>
      </c>
      <c r="D15" s="20">
        <v>100</v>
      </c>
      <c r="E15" s="22">
        <v>0.98080000000000001</v>
      </c>
      <c r="F15" s="23">
        <v>2.4</v>
      </c>
      <c r="G15" s="24">
        <f t="shared" si="0"/>
        <v>244.69820554649266</v>
      </c>
      <c r="H15" s="25">
        <f>H14</f>
        <v>2.42</v>
      </c>
      <c r="I15" s="26">
        <v>0</v>
      </c>
      <c r="J15" s="22">
        <f>C169</f>
        <v>0.99641291351135908</v>
      </c>
      <c r="K15" s="24">
        <f>((H15+I15)/J15)*D15</f>
        <v>242.87119999999999</v>
      </c>
      <c r="L15" s="27">
        <f>(K15-G15)/G15</f>
        <v>-7.4663626666667164E-3</v>
      </c>
      <c r="M15" s="28">
        <f t="shared" si="2"/>
        <v>-1.8270055464926713</v>
      </c>
      <c r="N15" s="29">
        <v>2.4300000000000002</v>
      </c>
      <c r="O15" s="30">
        <f t="shared" si="6"/>
        <v>1.6038000000000001</v>
      </c>
      <c r="P15" s="33">
        <f t="shared" si="3"/>
        <v>-0.7961999999999998</v>
      </c>
    </row>
    <row r="16" spans="1:16" x14ac:dyDescent="0.2">
      <c r="A16" s="34" t="s">
        <v>38</v>
      </c>
      <c r="B16" s="20" t="s">
        <v>39</v>
      </c>
      <c r="C16" s="21">
        <v>44368</v>
      </c>
      <c r="D16" s="20">
        <v>300</v>
      </c>
      <c r="E16" s="22">
        <v>1.1375</v>
      </c>
      <c r="F16" s="23">
        <v>7.49</v>
      </c>
      <c r="G16" s="24">
        <f t="shared" si="0"/>
        <v>1975.3846153846155</v>
      </c>
      <c r="H16" s="25">
        <f>H110</f>
        <v>4.71</v>
      </c>
      <c r="I16" s="26">
        <v>0</v>
      </c>
      <c r="J16" s="22">
        <f>C169</f>
        <v>0.99641291351135908</v>
      </c>
      <c r="K16" s="24">
        <f t="shared" si="5"/>
        <v>1418.0868</v>
      </c>
      <c r="L16" s="27">
        <f t="shared" si="1"/>
        <v>-0.28212116822429906</v>
      </c>
      <c r="M16" s="28">
        <f t="shared" si="2"/>
        <v>-557.29781538461543</v>
      </c>
      <c r="N16" s="29">
        <v>7.49</v>
      </c>
      <c r="O16" s="30">
        <f t="shared" si="6"/>
        <v>4.9434000000000005</v>
      </c>
      <c r="P16" s="33">
        <f t="shared" si="3"/>
        <v>-2.5465999999999998</v>
      </c>
    </row>
    <row r="17" spans="1:16" x14ac:dyDescent="0.2">
      <c r="A17" s="32" t="s">
        <v>40</v>
      </c>
      <c r="B17" s="20" t="s">
        <v>39</v>
      </c>
      <c r="C17" s="21">
        <v>44726</v>
      </c>
      <c r="D17" s="20">
        <v>100</v>
      </c>
      <c r="E17" s="22">
        <v>1.0409999999999999</v>
      </c>
      <c r="F17" s="23">
        <v>5.15</v>
      </c>
      <c r="G17" s="24">
        <f t="shared" si="0"/>
        <v>494.71661863592703</v>
      </c>
      <c r="H17" s="25">
        <f>H16</f>
        <v>4.71</v>
      </c>
      <c r="I17" s="26">
        <v>0</v>
      </c>
      <c r="J17" s="22">
        <f>C169</f>
        <v>0.99641291351135908</v>
      </c>
      <c r="K17" s="24">
        <f t="shared" si="5"/>
        <v>472.69560000000001</v>
      </c>
      <c r="L17" s="27">
        <f t="shared" si="1"/>
        <v>-4.4512389126213643E-2</v>
      </c>
      <c r="M17" s="28">
        <f t="shared" si="2"/>
        <v>-22.021018635927021</v>
      </c>
      <c r="N17" s="29">
        <v>5.16</v>
      </c>
      <c r="O17" s="30">
        <f t="shared" si="6"/>
        <v>3.4056000000000002</v>
      </c>
      <c r="P17" s="33">
        <f t="shared" si="3"/>
        <v>-1.7444000000000002</v>
      </c>
    </row>
    <row r="18" spans="1:16" x14ac:dyDescent="0.2">
      <c r="A18" s="20" t="s">
        <v>41</v>
      </c>
      <c r="B18" s="20" t="s">
        <v>42</v>
      </c>
      <c r="C18" s="21">
        <v>44388</v>
      </c>
      <c r="D18" s="20">
        <v>100</v>
      </c>
      <c r="E18" s="22">
        <v>1.18</v>
      </c>
      <c r="F18" s="23">
        <v>5.29</v>
      </c>
      <c r="G18" s="24">
        <f t="shared" si="0"/>
        <v>448.30508474576271</v>
      </c>
      <c r="H18" s="25">
        <f>'[1]auto data'!J19</f>
        <v>3.62</v>
      </c>
      <c r="I18" s="26">
        <v>0</v>
      </c>
      <c r="J18" s="22">
        <f>C169</f>
        <v>0.99641291351135908</v>
      </c>
      <c r="K18" s="24">
        <f t="shared" si="5"/>
        <v>363.3032</v>
      </c>
      <c r="L18" s="27">
        <f t="shared" si="1"/>
        <v>-0.18960722873345934</v>
      </c>
      <c r="M18" s="28">
        <f t="shared" si="2"/>
        <v>-85.001884745762709</v>
      </c>
      <c r="N18" s="29">
        <v>5.58</v>
      </c>
      <c r="O18" s="30">
        <f t="shared" si="6"/>
        <v>3.6828000000000003</v>
      </c>
      <c r="P18" s="33">
        <f t="shared" si="3"/>
        <v>-1.6071999999999997</v>
      </c>
    </row>
    <row r="19" spans="1:16" x14ac:dyDescent="0.2">
      <c r="A19" s="20" t="s">
        <v>43</v>
      </c>
      <c r="B19" s="20" t="s">
        <v>44</v>
      </c>
      <c r="C19" s="21">
        <v>44433</v>
      </c>
      <c r="D19" s="20">
        <v>300</v>
      </c>
      <c r="E19" s="22">
        <v>1.4830000000000001</v>
      </c>
      <c r="F19" s="23">
        <v>1.27</v>
      </c>
      <c r="G19" s="24">
        <f t="shared" si="0"/>
        <v>256.91166554281858</v>
      </c>
      <c r="H19" s="36">
        <f>'[1]auto data'!J20</f>
        <v>0.67</v>
      </c>
      <c r="I19" s="26">
        <f>[1]Dividend!P10</f>
        <v>0.10500000000000001</v>
      </c>
      <c r="J19" s="22">
        <f>C170</f>
        <v>1.3430029546065001</v>
      </c>
      <c r="K19" s="24">
        <f t="shared" si="5"/>
        <v>173.11950000000002</v>
      </c>
      <c r="L19" s="27">
        <f t="shared" si="1"/>
        <v>-0.32615165748031483</v>
      </c>
      <c r="M19" s="28">
        <f t="shared" si="2"/>
        <v>-83.792165542818566</v>
      </c>
      <c r="N19" s="29">
        <v>1.5</v>
      </c>
      <c r="O19" s="30">
        <f t="shared" si="6"/>
        <v>1.0593000000000001</v>
      </c>
      <c r="P19" s="33">
        <f t="shared" si="3"/>
        <v>-0.21069999999999989</v>
      </c>
    </row>
    <row r="20" spans="1:16" x14ac:dyDescent="0.2">
      <c r="A20" s="20" t="s">
        <v>45</v>
      </c>
      <c r="B20" s="20" t="s">
        <v>46</v>
      </c>
      <c r="C20" s="21">
        <v>44517</v>
      </c>
      <c r="D20" s="20">
        <v>40</v>
      </c>
      <c r="E20" s="22">
        <v>1.1301000000000001</v>
      </c>
      <c r="F20" s="23">
        <v>12.82</v>
      </c>
      <c r="G20" s="24">
        <f t="shared" si="0"/>
        <v>453.76515352623653</v>
      </c>
      <c r="H20" s="36">
        <f>'[1]auto data'!J21</f>
        <v>9.6</v>
      </c>
      <c r="I20" s="26">
        <f>[1]Dividend!P12</f>
        <v>0.75</v>
      </c>
      <c r="J20" s="22">
        <f>C169</f>
        <v>0.99641291351135908</v>
      </c>
      <c r="K20" s="24">
        <f>((H20+I20)/J20)*D20</f>
        <v>415.49039999999997</v>
      </c>
      <c r="L20" s="27">
        <f>(K20-G20)/G20</f>
        <v>-8.4349256942277601E-2</v>
      </c>
      <c r="M20" s="28">
        <f t="shared" si="2"/>
        <v>-38.274753526236566</v>
      </c>
      <c r="N20" s="29">
        <v>20.11</v>
      </c>
      <c r="O20" s="30">
        <f>(N20+I20)*0.66</f>
        <v>13.7676</v>
      </c>
      <c r="P20" s="31">
        <f>O20-F20</f>
        <v>0.94759999999999955</v>
      </c>
    </row>
    <row r="21" spans="1:16" x14ac:dyDescent="0.2">
      <c r="A21" s="32" t="s">
        <v>47</v>
      </c>
      <c r="B21" s="20" t="s">
        <v>46</v>
      </c>
      <c r="C21" s="21">
        <v>44658</v>
      </c>
      <c r="D21" s="20">
        <v>60</v>
      </c>
      <c r="E21" s="22">
        <v>1.0878000000000001</v>
      </c>
      <c r="F21" s="23">
        <v>15.22</v>
      </c>
      <c r="G21" s="24">
        <f t="shared" si="0"/>
        <v>839.49255377826807</v>
      </c>
      <c r="H21" s="36">
        <f>H20</f>
        <v>9.6</v>
      </c>
      <c r="I21" s="26">
        <f>[1]Dividend!P12</f>
        <v>0.75</v>
      </c>
      <c r="J21" s="22">
        <f>C169</f>
        <v>0.99641291351135908</v>
      </c>
      <c r="K21" s="24">
        <f>((H21+I21)/J21)*D21</f>
        <v>623.23559999999998</v>
      </c>
      <c r="L21" s="27">
        <f>(K21-G21)/G21</f>
        <v>-0.25760437398160319</v>
      </c>
      <c r="M21" s="28">
        <f t="shared" si="2"/>
        <v>-216.2569537782681</v>
      </c>
      <c r="N21" s="29">
        <v>15.22</v>
      </c>
      <c r="O21" s="30">
        <f>(N21+I21)*0.66</f>
        <v>10.5402</v>
      </c>
      <c r="P21" s="33">
        <f>O21-F21</f>
        <v>-4.6798000000000002</v>
      </c>
    </row>
    <row r="22" spans="1:16" x14ac:dyDescent="0.2">
      <c r="A22" s="32" t="s">
        <v>48</v>
      </c>
      <c r="B22" s="20" t="s">
        <v>46</v>
      </c>
      <c r="C22" s="21">
        <v>44690</v>
      </c>
      <c r="D22" s="20">
        <v>50</v>
      </c>
      <c r="E22" s="22">
        <v>1.0529999999999999</v>
      </c>
      <c r="F22" s="23">
        <v>11.875</v>
      </c>
      <c r="G22" s="24">
        <f t="shared" si="0"/>
        <v>563.8651471984806</v>
      </c>
      <c r="H22" s="36">
        <f>H21</f>
        <v>9.6</v>
      </c>
      <c r="I22" s="26">
        <f>I21</f>
        <v>0.75</v>
      </c>
      <c r="J22" s="22">
        <f>C169</f>
        <v>0.99641291351135908</v>
      </c>
      <c r="K22" s="24">
        <f>((H22+I22)/J22)*D22</f>
        <v>519.36299999999994</v>
      </c>
      <c r="L22" s="27">
        <f>(K22-G22)/G22</f>
        <v>-7.8923386947368626E-2</v>
      </c>
      <c r="M22" s="28">
        <f t="shared" si="2"/>
        <v>-44.502147198480657</v>
      </c>
      <c r="N22" s="29">
        <v>11.78</v>
      </c>
      <c r="O22" s="30">
        <f>(N22+I22)*0.66</f>
        <v>8.2698</v>
      </c>
      <c r="P22" s="33">
        <f>O22-F22</f>
        <v>-3.6052</v>
      </c>
    </row>
    <row r="23" spans="1:16" x14ac:dyDescent="0.2">
      <c r="A23" s="20" t="s">
        <v>49</v>
      </c>
      <c r="B23" s="20" t="s">
        <v>50</v>
      </c>
      <c r="C23" s="21">
        <v>44589</v>
      </c>
      <c r="D23" s="20">
        <v>50</v>
      </c>
      <c r="E23" s="22">
        <v>1.1152</v>
      </c>
      <c r="F23" s="23">
        <v>9.56</v>
      </c>
      <c r="G23" s="24">
        <f t="shared" si="0"/>
        <v>428.62266857962697</v>
      </c>
      <c r="H23" s="36">
        <f>'[1]auto data'!S6</f>
        <v>8.9600000000000009</v>
      </c>
      <c r="I23" s="26">
        <v>0</v>
      </c>
      <c r="J23" s="22">
        <f>C169</f>
        <v>0.99641291351135908</v>
      </c>
      <c r="K23" s="24">
        <f t="shared" si="5"/>
        <v>449.61280000000005</v>
      </c>
      <c r="L23" s="35">
        <f t="shared" ref="L23:L24" si="7">(K23-G23)/G23</f>
        <v>4.897111832635994E-2</v>
      </c>
      <c r="M23" s="28">
        <f t="shared" si="2"/>
        <v>20.990131420373075</v>
      </c>
      <c r="N23" s="29">
        <v>14.24</v>
      </c>
      <c r="O23" s="30">
        <f t="shared" si="6"/>
        <v>9.3984000000000005</v>
      </c>
      <c r="P23" s="33">
        <f t="shared" ref="P23" si="8">O23-F23</f>
        <v>-0.16159999999999997</v>
      </c>
    </row>
    <row r="24" spans="1:16" x14ac:dyDescent="0.2">
      <c r="A24" s="20" t="s">
        <v>51</v>
      </c>
      <c r="B24" s="20" t="s">
        <v>52</v>
      </c>
      <c r="C24" s="21">
        <v>44795</v>
      </c>
      <c r="D24" s="20">
        <v>250</v>
      </c>
      <c r="E24" s="22">
        <v>0.99460000000000004</v>
      </c>
      <c r="F24" s="23">
        <v>1.9</v>
      </c>
      <c r="G24" s="24">
        <f t="shared" si="0"/>
        <v>477.578926201488</v>
      </c>
      <c r="H24" s="36">
        <f>'[1]auto data'!J48</f>
        <v>1.86</v>
      </c>
      <c r="I24" s="26">
        <v>0</v>
      </c>
      <c r="J24" s="22">
        <f>C169</f>
        <v>0.99641291351135908</v>
      </c>
      <c r="K24" s="24">
        <f t="shared" si="5"/>
        <v>466.67400000000004</v>
      </c>
      <c r="L24" s="27">
        <f t="shared" si="7"/>
        <v>-2.2833767578947228E-2</v>
      </c>
      <c r="M24" s="28">
        <f t="shared" si="2"/>
        <v>-10.904926201487967</v>
      </c>
      <c r="N24" s="29">
        <v>1.9</v>
      </c>
      <c r="O24" s="30">
        <f>(N24+I24)*0.66</f>
        <v>1.254</v>
      </c>
      <c r="P24" s="33">
        <f>O24-F24</f>
        <v>-0.64599999999999991</v>
      </c>
    </row>
    <row r="25" spans="1:16" x14ac:dyDescent="0.2">
      <c r="A25" s="2" t="s">
        <v>53</v>
      </c>
      <c r="B25" s="3"/>
      <c r="C25" s="3"/>
      <c r="D25" s="3"/>
      <c r="E25" s="3"/>
      <c r="F25" s="4"/>
      <c r="G25" s="5"/>
      <c r="H25" s="6"/>
      <c r="I25" s="6"/>
      <c r="J25" s="6"/>
      <c r="K25" s="7"/>
      <c r="L25" s="8" t="s">
        <v>1</v>
      </c>
      <c r="M25" s="9">
        <f>SUM(K27:K45)</f>
        <v>4309.8381679999993</v>
      </c>
      <c r="N25" s="10"/>
      <c r="O25" s="11"/>
      <c r="P25" s="12">
        <f>M25/P175</f>
        <v>7.5729809792306202E-2</v>
      </c>
    </row>
    <row r="26" spans="1:16" x14ac:dyDescent="0.2">
      <c r="A26" s="13" t="s">
        <v>2</v>
      </c>
      <c r="B26" s="13" t="s">
        <v>3</v>
      </c>
      <c r="C26" s="14" t="s">
        <v>4</v>
      </c>
      <c r="D26" s="13" t="s">
        <v>5</v>
      </c>
      <c r="E26" s="15" t="s">
        <v>6</v>
      </c>
      <c r="F26" s="13" t="s">
        <v>7</v>
      </c>
      <c r="G26" s="13" t="s">
        <v>8</v>
      </c>
      <c r="H26" s="16" t="s">
        <v>9</v>
      </c>
      <c r="I26" s="13" t="s">
        <v>10</v>
      </c>
      <c r="J26" s="15" t="s">
        <v>11</v>
      </c>
      <c r="K26" s="13" t="s">
        <v>12</v>
      </c>
      <c r="L26" s="13" t="s">
        <v>13</v>
      </c>
      <c r="M26" s="17" t="s">
        <v>14</v>
      </c>
      <c r="N26" s="18" t="s">
        <v>15</v>
      </c>
      <c r="O26" s="19" t="s">
        <v>16</v>
      </c>
      <c r="P26" s="17" t="s">
        <v>17</v>
      </c>
    </row>
    <row r="27" spans="1:16" x14ac:dyDescent="0.2">
      <c r="A27" s="34" t="s">
        <v>54</v>
      </c>
      <c r="B27" s="20" t="s">
        <v>55</v>
      </c>
      <c r="C27" s="21">
        <v>44054</v>
      </c>
      <c r="D27" s="20">
        <v>400</v>
      </c>
      <c r="E27" s="22">
        <v>1.49</v>
      </c>
      <c r="F27" s="23">
        <v>2.355</v>
      </c>
      <c r="G27" s="24">
        <f t="shared" si="0"/>
        <v>632.21476510067112</v>
      </c>
      <c r="H27" s="25">
        <f>'[1]auto data'!J23</f>
        <v>1.25</v>
      </c>
      <c r="I27" s="20">
        <v>0</v>
      </c>
      <c r="J27" s="22">
        <f>C170</f>
        <v>1.3430029546065001</v>
      </c>
      <c r="K27" s="24">
        <f t="shared" ref="K27:K30" si="9">((H27+I27)/J27)*D27</f>
        <v>372.3</v>
      </c>
      <c r="L27" s="27">
        <f t="shared" ref="L27:L30" si="10">(K27-G27)/G27</f>
        <v>-0.4111178343949044</v>
      </c>
      <c r="M27" s="28">
        <f t="shared" ref="M27:M54" si="11">K27-G27</f>
        <v>-259.9147651006711</v>
      </c>
      <c r="N27" s="29">
        <v>3.65</v>
      </c>
      <c r="O27" s="30">
        <f t="shared" ref="O27:O29" si="12">(N27+I27)*0.5</f>
        <v>1.825</v>
      </c>
      <c r="P27" s="33">
        <f t="shared" ref="P27:P30" si="13">O27-F27</f>
        <v>-0.53</v>
      </c>
    </row>
    <row r="28" spans="1:16" x14ac:dyDescent="0.2">
      <c r="A28" s="20" t="s">
        <v>56</v>
      </c>
      <c r="B28" s="20" t="s">
        <v>57</v>
      </c>
      <c r="C28" s="21">
        <v>44096</v>
      </c>
      <c r="D28" s="20">
        <v>500</v>
      </c>
      <c r="E28" s="22">
        <v>1.56</v>
      </c>
      <c r="F28" s="23">
        <v>0.6</v>
      </c>
      <c r="G28" s="24">
        <f t="shared" si="0"/>
        <v>192.30769230769229</v>
      </c>
      <c r="H28" s="25">
        <f>'[1]auto data'!J28</f>
        <v>0.2</v>
      </c>
      <c r="I28" s="20">
        <v>0</v>
      </c>
      <c r="J28" s="22">
        <f>C170</f>
        <v>1.3430029546065001</v>
      </c>
      <c r="K28" s="24">
        <f t="shared" si="9"/>
        <v>74.460000000000008</v>
      </c>
      <c r="L28" s="27">
        <f t="shared" si="10"/>
        <v>-0.61280799999999991</v>
      </c>
      <c r="M28" s="28">
        <f t="shared" si="11"/>
        <v>-117.84769230769228</v>
      </c>
      <c r="N28" s="29">
        <v>0.7</v>
      </c>
      <c r="O28" s="30">
        <f t="shared" si="12"/>
        <v>0.35</v>
      </c>
      <c r="P28" s="33">
        <f t="shared" si="13"/>
        <v>-0.25</v>
      </c>
    </row>
    <row r="29" spans="1:16" x14ac:dyDescent="0.2">
      <c r="A29" s="20" t="s">
        <v>58</v>
      </c>
      <c r="B29" s="20" t="s">
        <v>59</v>
      </c>
      <c r="C29" s="21">
        <v>44159</v>
      </c>
      <c r="D29" s="20">
        <v>300</v>
      </c>
      <c r="E29" s="22">
        <v>1.55</v>
      </c>
      <c r="F29" s="23">
        <v>1.19</v>
      </c>
      <c r="G29" s="24">
        <f t="shared" si="0"/>
        <v>230.32258064516128</v>
      </c>
      <c r="H29" s="25">
        <f>'[1]auto data'!J32</f>
        <v>0.28000000000000003</v>
      </c>
      <c r="I29" s="20">
        <v>0</v>
      </c>
      <c r="J29" s="22">
        <f>C170</f>
        <v>1.3430029546065001</v>
      </c>
      <c r="K29" s="24">
        <f t="shared" si="9"/>
        <v>62.546400000000013</v>
      </c>
      <c r="L29" s="27">
        <f t="shared" si="10"/>
        <v>-0.72843999999999998</v>
      </c>
      <c r="M29" s="28">
        <f t="shared" si="11"/>
        <v>-167.77618064516128</v>
      </c>
      <c r="N29" s="29">
        <v>1.25</v>
      </c>
      <c r="O29" s="30">
        <f t="shared" si="12"/>
        <v>0.625</v>
      </c>
      <c r="P29" s="33">
        <f t="shared" si="13"/>
        <v>-0.56499999999999995</v>
      </c>
    </row>
    <row r="30" spans="1:16" x14ac:dyDescent="0.2">
      <c r="A30" s="34" t="s">
        <v>60</v>
      </c>
      <c r="B30" s="20" t="s">
        <v>61</v>
      </c>
      <c r="C30" s="21">
        <v>44203</v>
      </c>
      <c r="D30" s="20">
        <v>2000</v>
      </c>
      <c r="E30" s="22">
        <v>1.4155</v>
      </c>
      <c r="F30" s="23">
        <v>0.57399999999999995</v>
      </c>
      <c r="G30" s="24">
        <f t="shared" si="0"/>
        <v>811.0208406923349</v>
      </c>
      <c r="H30" s="25">
        <f>'[1]auto data'!J35</f>
        <v>0.32</v>
      </c>
      <c r="I30" s="20">
        <v>0</v>
      </c>
      <c r="J30" s="22">
        <f>C170</f>
        <v>1.3430029546065001</v>
      </c>
      <c r="K30" s="24">
        <f t="shared" si="9"/>
        <v>476.54400000000004</v>
      </c>
      <c r="L30" s="27">
        <f t="shared" si="10"/>
        <v>-0.41241460627177701</v>
      </c>
      <c r="M30" s="28">
        <f>K30-G30</f>
        <v>-334.47684069233486</v>
      </c>
      <c r="N30" s="29">
        <v>0.62</v>
      </c>
      <c r="O30" s="30">
        <f>(N30+I30)*0.5</f>
        <v>0.31</v>
      </c>
      <c r="P30" s="33">
        <f t="shared" si="13"/>
        <v>-0.26399999999999996</v>
      </c>
    </row>
    <row r="31" spans="1:16" x14ac:dyDescent="0.2">
      <c r="A31" s="20" t="s">
        <v>62</v>
      </c>
      <c r="B31" s="20" t="s">
        <v>63</v>
      </c>
      <c r="C31" s="21">
        <v>43837</v>
      </c>
      <c r="D31" s="20">
        <v>720</v>
      </c>
      <c r="E31" s="22">
        <v>1.45</v>
      </c>
      <c r="F31" s="23">
        <v>0.81</v>
      </c>
      <c r="G31" s="24">
        <f t="shared" si="0"/>
        <v>402.20689655172418</v>
      </c>
      <c r="H31" s="25">
        <f>'[1]auto data'!J3</f>
        <v>0.43</v>
      </c>
      <c r="I31" s="20">
        <v>0</v>
      </c>
      <c r="J31" s="22">
        <f>C170</f>
        <v>1.3430029546065001</v>
      </c>
      <c r="K31" s="24">
        <f>((H31+I31)/J31)*D31</f>
        <v>230.52816000000001</v>
      </c>
      <c r="L31" s="27">
        <f>(K31-G31)/G31</f>
        <v>-0.42684185185185186</v>
      </c>
      <c r="M31" s="28">
        <f t="shared" ref="M31:M45" si="14">K31-G31</f>
        <v>-171.67873655172417</v>
      </c>
      <c r="N31" s="29">
        <v>1.55</v>
      </c>
      <c r="O31" s="30">
        <f>(N31+I31)*0.33</f>
        <v>0.51150000000000007</v>
      </c>
      <c r="P31" s="33">
        <f>O31-F31</f>
        <v>-0.29849999999999999</v>
      </c>
    </row>
    <row r="32" spans="1:16" x14ac:dyDescent="0.2">
      <c r="A32" s="34" t="s">
        <v>64</v>
      </c>
      <c r="B32" s="20" t="s">
        <v>65</v>
      </c>
      <c r="C32" s="21">
        <v>44246</v>
      </c>
      <c r="D32" s="20">
        <v>2000</v>
      </c>
      <c r="E32" s="22">
        <v>1.47</v>
      </c>
      <c r="F32" s="23">
        <v>0.497</v>
      </c>
      <c r="G32" s="24">
        <f t="shared" si="0"/>
        <v>676.19047619047615</v>
      </c>
      <c r="H32" s="25">
        <f>'[1]auto data'!J12</f>
        <v>0.245</v>
      </c>
      <c r="I32" s="37">
        <v>0</v>
      </c>
      <c r="J32" s="22">
        <f>C170</f>
        <v>1.3430029546065001</v>
      </c>
      <c r="K32" s="24">
        <f t="shared" ref="K32:K45" si="15">((H32+I32)/J32)*D32</f>
        <v>364.85399999999998</v>
      </c>
      <c r="L32" s="27">
        <f t="shared" ref="L32" si="16">(K32-G32)/G32</f>
        <v>-0.46042718309859154</v>
      </c>
      <c r="M32" s="28">
        <f t="shared" si="14"/>
        <v>-311.33647619047616</v>
      </c>
      <c r="N32" s="29">
        <v>0.51</v>
      </c>
      <c r="O32" s="30">
        <f>(N32+I32)*0.66</f>
        <v>0.33660000000000001</v>
      </c>
      <c r="P32" s="33">
        <f t="shared" ref="P32:P33" si="17">O32-F32</f>
        <v>-0.16039999999999999</v>
      </c>
    </row>
    <row r="33" spans="1:16" x14ac:dyDescent="0.2">
      <c r="A33" s="34" t="s">
        <v>66</v>
      </c>
      <c r="B33" s="20" t="s">
        <v>67</v>
      </c>
      <c r="C33" s="21">
        <v>44376</v>
      </c>
      <c r="D33" s="20">
        <v>2000</v>
      </c>
      <c r="E33" s="22">
        <v>1.46</v>
      </c>
      <c r="F33" s="23">
        <v>0.375</v>
      </c>
      <c r="G33" s="24">
        <f t="shared" si="0"/>
        <v>513.69863013698637</v>
      </c>
      <c r="H33" s="36">
        <f>'[1]auto data'!J17</f>
        <v>0.20499999999999999</v>
      </c>
      <c r="I33" s="37">
        <v>0</v>
      </c>
      <c r="J33" s="22">
        <f>C170</f>
        <v>1.3430029546065001</v>
      </c>
      <c r="K33" s="24">
        <f t="shared" si="15"/>
        <v>305.286</v>
      </c>
      <c r="L33" s="27">
        <f>(K33-G33)/G33</f>
        <v>-0.40570992000000006</v>
      </c>
      <c r="M33" s="28">
        <f t="shared" si="14"/>
        <v>-208.41263013698637</v>
      </c>
      <c r="N33" s="29">
        <v>0.44</v>
      </c>
      <c r="O33" s="30">
        <f t="shared" ref="O33:O42" si="18">(N33+I33)*0.5</f>
        <v>0.22</v>
      </c>
      <c r="P33" s="33">
        <f t="shared" si="17"/>
        <v>-0.155</v>
      </c>
    </row>
    <row r="34" spans="1:16" x14ac:dyDescent="0.2">
      <c r="A34" s="20" t="s">
        <v>68</v>
      </c>
      <c r="B34" s="20" t="s">
        <v>69</v>
      </c>
      <c r="C34" s="21">
        <v>44396</v>
      </c>
      <c r="D34" s="20">
        <v>66</v>
      </c>
      <c r="E34" s="22">
        <v>1.5044</v>
      </c>
      <c r="F34" s="23">
        <v>0.72899999999999998</v>
      </c>
      <c r="G34" s="24">
        <v>0</v>
      </c>
      <c r="H34" s="36">
        <f>'[1]auto data'!J18</f>
        <v>0.28000000000000003</v>
      </c>
      <c r="I34" s="37">
        <v>0</v>
      </c>
      <c r="J34" s="22">
        <f>C170</f>
        <v>1.3430029546065001</v>
      </c>
      <c r="K34" s="24">
        <f t="shared" si="15"/>
        <v>13.760208000000002</v>
      </c>
      <c r="L34" s="38" t="s">
        <v>70</v>
      </c>
      <c r="M34" s="28">
        <f t="shared" si="14"/>
        <v>13.760208000000002</v>
      </c>
      <c r="N34" s="29"/>
      <c r="O34" s="30"/>
      <c r="P34" s="33"/>
    </row>
    <row r="35" spans="1:16" x14ac:dyDescent="0.2">
      <c r="A35" s="20" t="s">
        <v>71</v>
      </c>
      <c r="B35" s="20" t="s">
        <v>72</v>
      </c>
      <c r="C35" s="21">
        <v>44438</v>
      </c>
      <c r="D35" s="20">
        <v>5000</v>
      </c>
      <c r="E35" s="22">
        <v>1.4879</v>
      </c>
      <c r="F35" s="39">
        <v>6.5000000000000002E-2</v>
      </c>
      <c r="G35" s="24">
        <f t="shared" ref="G35:G45" si="19">(F35*D35)/E35</f>
        <v>218.4286578399086</v>
      </c>
      <c r="H35" s="40">
        <f>'[1]auto data'!J37</f>
        <v>0.02</v>
      </c>
      <c r="I35" s="37">
        <v>0</v>
      </c>
      <c r="J35" s="22">
        <f>C170</f>
        <v>1.3430029546065001</v>
      </c>
      <c r="K35" s="24">
        <f t="shared" si="15"/>
        <v>74.460000000000008</v>
      </c>
      <c r="L35" s="27">
        <f t="shared" ref="L35:L45" si="20">(K35-G35)/G35</f>
        <v>-0.65911066461538459</v>
      </c>
      <c r="M35" s="28">
        <f t="shared" si="14"/>
        <v>-143.96865783990859</v>
      </c>
      <c r="N35" s="29">
        <v>6.5000000000000002E-2</v>
      </c>
      <c r="O35" s="30">
        <f t="shared" si="18"/>
        <v>3.2500000000000001E-2</v>
      </c>
      <c r="P35" s="33">
        <f t="shared" ref="P35:P45" si="21">O35-F35</f>
        <v>-3.2500000000000001E-2</v>
      </c>
    </row>
    <row r="36" spans="1:16" x14ac:dyDescent="0.2">
      <c r="A36" s="34" t="s">
        <v>73</v>
      </c>
      <c r="B36" s="20" t="s">
        <v>74</v>
      </c>
      <c r="C36" s="21">
        <v>44498</v>
      </c>
      <c r="D36" s="20">
        <v>600</v>
      </c>
      <c r="E36" s="22">
        <v>1.43</v>
      </c>
      <c r="F36" s="39">
        <v>1.34</v>
      </c>
      <c r="G36" s="24">
        <f t="shared" si="19"/>
        <v>562.23776223776224</v>
      </c>
      <c r="H36" s="40">
        <f>'[1]auto data'!J39</f>
        <v>0.35499999999999998</v>
      </c>
      <c r="I36" s="37">
        <v>0</v>
      </c>
      <c r="J36" s="22">
        <f>C170</f>
        <v>1.3430029546065001</v>
      </c>
      <c r="K36" s="24">
        <f t="shared" si="15"/>
        <v>158.59979999999999</v>
      </c>
      <c r="L36" s="27">
        <f t="shared" si="20"/>
        <v>-0.71791329104477619</v>
      </c>
      <c r="M36" s="28">
        <f t="shared" si="14"/>
        <v>-403.63796223776228</v>
      </c>
      <c r="N36" s="29">
        <v>1.5</v>
      </c>
      <c r="O36" s="30">
        <f t="shared" si="18"/>
        <v>0.75</v>
      </c>
      <c r="P36" s="33">
        <f t="shared" si="21"/>
        <v>-0.59000000000000008</v>
      </c>
    </row>
    <row r="37" spans="1:16" x14ac:dyDescent="0.2">
      <c r="A37" s="34" t="s">
        <v>75</v>
      </c>
      <c r="B37" s="20" t="s">
        <v>76</v>
      </c>
      <c r="C37" s="21">
        <v>44517</v>
      </c>
      <c r="D37" s="20">
        <v>4000</v>
      </c>
      <c r="E37" s="22">
        <v>1.3869</v>
      </c>
      <c r="F37" s="39">
        <v>0.184</v>
      </c>
      <c r="G37" s="24">
        <f t="shared" si="19"/>
        <v>530.67993366500832</v>
      </c>
      <c r="H37" s="40">
        <f>'[1]auto data'!J43</f>
        <v>0.09</v>
      </c>
      <c r="I37" s="37">
        <v>0</v>
      </c>
      <c r="J37" s="22">
        <f>C170</f>
        <v>1.3430029546065001</v>
      </c>
      <c r="K37" s="24">
        <f t="shared" si="15"/>
        <v>268.05600000000004</v>
      </c>
      <c r="L37" s="27">
        <f t="shared" si="20"/>
        <v>-0.49488197499999997</v>
      </c>
      <c r="M37" s="28">
        <f t="shared" si="14"/>
        <v>-262.62393366500828</v>
      </c>
      <c r="N37" s="29">
        <v>0.27500000000000002</v>
      </c>
      <c r="O37" s="30">
        <f t="shared" si="18"/>
        <v>0.13750000000000001</v>
      </c>
      <c r="P37" s="33">
        <f t="shared" si="21"/>
        <v>-4.6499999999999986E-2</v>
      </c>
    </row>
    <row r="38" spans="1:16" x14ac:dyDescent="0.2">
      <c r="A38" s="34" t="s">
        <v>77</v>
      </c>
      <c r="B38" s="20" t="s">
        <v>78</v>
      </c>
      <c r="C38" s="21">
        <v>44621</v>
      </c>
      <c r="D38" s="20">
        <v>800</v>
      </c>
      <c r="E38" s="22">
        <v>1.4169</v>
      </c>
      <c r="F38" s="39">
        <v>0.9</v>
      </c>
      <c r="G38" s="24">
        <f t="shared" si="19"/>
        <v>508.15159856023712</v>
      </c>
      <c r="H38" s="40">
        <f>'[1]auto data'!W24</f>
        <v>0.46500000000000002</v>
      </c>
      <c r="I38" s="37">
        <v>0</v>
      </c>
      <c r="J38" s="22">
        <f>C170</f>
        <v>1.3430029546065001</v>
      </c>
      <c r="K38" s="24">
        <f t="shared" si="15"/>
        <v>276.99119999999999</v>
      </c>
      <c r="L38" s="27">
        <f t="shared" si="20"/>
        <v>-0.45490440100000001</v>
      </c>
      <c r="M38" s="28">
        <f t="shared" si="14"/>
        <v>-231.16039856023713</v>
      </c>
      <c r="N38" s="29">
        <v>1.1200000000000001</v>
      </c>
      <c r="O38" s="30">
        <f t="shared" si="18"/>
        <v>0.56000000000000005</v>
      </c>
      <c r="P38" s="33">
        <f t="shared" si="21"/>
        <v>-0.33999999999999997</v>
      </c>
    </row>
    <row r="39" spans="1:16" x14ac:dyDescent="0.2">
      <c r="A39" s="20" t="s">
        <v>79</v>
      </c>
      <c r="B39" s="20" t="s">
        <v>80</v>
      </c>
      <c r="C39" s="21">
        <v>44628</v>
      </c>
      <c r="D39" s="20">
        <v>250</v>
      </c>
      <c r="E39" s="22">
        <v>1.4056999999999999</v>
      </c>
      <c r="F39" s="39">
        <v>1.25</v>
      </c>
      <c r="G39" s="24">
        <f t="shared" si="19"/>
        <v>222.30916980863628</v>
      </c>
      <c r="H39" s="40">
        <f>'[1]auto data'!W21</f>
        <v>0.71</v>
      </c>
      <c r="I39" s="37">
        <v>0</v>
      </c>
      <c r="J39" s="22">
        <f>C170</f>
        <v>1.3430029546065001</v>
      </c>
      <c r="K39" s="24">
        <f t="shared" si="15"/>
        <v>132.16649999999998</v>
      </c>
      <c r="L39" s="27">
        <f t="shared" si="20"/>
        <v>-0.4054833630400001</v>
      </c>
      <c r="M39" s="28">
        <f t="shared" si="14"/>
        <v>-90.142669808636299</v>
      </c>
      <c r="N39" s="29">
        <v>1.25</v>
      </c>
      <c r="O39" s="30">
        <f t="shared" si="18"/>
        <v>0.625</v>
      </c>
      <c r="P39" s="33">
        <f t="shared" si="21"/>
        <v>-0.625</v>
      </c>
    </row>
    <row r="40" spans="1:16" x14ac:dyDescent="0.2">
      <c r="A40" s="34" t="s">
        <v>81</v>
      </c>
      <c r="B40" s="20" t="s">
        <v>82</v>
      </c>
      <c r="C40" s="21">
        <v>44628</v>
      </c>
      <c r="D40" s="20">
        <v>500</v>
      </c>
      <c r="E40" s="22">
        <v>1.0812999999999999</v>
      </c>
      <c r="F40" s="39">
        <v>0.81399999999999995</v>
      </c>
      <c r="G40" s="24">
        <f t="shared" si="19"/>
        <v>376.39877924720247</v>
      </c>
      <c r="H40" s="40">
        <f>'[1]auto data'!W25</f>
        <v>0.32800000000000001</v>
      </c>
      <c r="I40" s="37">
        <v>0</v>
      </c>
      <c r="J40" s="22">
        <f>C169</f>
        <v>0.99641291351135908</v>
      </c>
      <c r="K40" s="24">
        <f t="shared" si="15"/>
        <v>164.59040000000002</v>
      </c>
      <c r="L40" s="27">
        <f t="shared" si="20"/>
        <v>-0.56272334270270274</v>
      </c>
      <c r="M40" s="28">
        <f t="shared" si="14"/>
        <v>-211.80837924720245</v>
      </c>
      <c r="N40" s="29">
        <v>0.93500000000000005</v>
      </c>
      <c r="O40" s="30">
        <f t="shared" si="18"/>
        <v>0.46750000000000003</v>
      </c>
      <c r="P40" s="33">
        <f t="shared" si="21"/>
        <v>-0.34649999999999992</v>
      </c>
    </row>
    <row r="41" spans="1:16" x14ac:dyDescent="0.2">
      <c r="A41" s="34" t="s">
        <v>83</v>
      </c>
      <c r="B41" s="20" t="s">
        <v>84</v>
      </c>
      <c r="C41" s="21">
        <v>44635</v>
      </c>
      <c r="D41" s="20">
        <v>300</v>
      </c>
      <c r="E41" s="22">
        <v>1.3724000000000001</v>
      </c>
      <c r="F41" s="39">
        <v>2.31</v>
      </c>
      <c r="G41" s="24">
        <f t="shared" si="19"/>
        <v>504.9548236665695</v>
      </c>
      <c r="H41" s="40">
        <f>'[1]auto data'!J44</f>
        <v>1.25</v>
      </c>
      <c r="I41" s="37">
        <v>0</v>
      </c>
      <c r="J41" s="22">
        <f>C170</f>
        <v>1.3430029546065001</v>
      </c>
      <c r="K41" s="24">
        <f t="shared" si="15"/>
        <v>279.22500000000002</v>
      </c>
      <c r="L41" s="27">
        <f t="shared" si="20"/>
        <v>-0.44702974025974018</v>
      </c>
      <c r="M41" s="28">
        <f t="shared" si="14"/>
        <v>-225.72982366656947</v>
      </c>
      <c r="N41" s="29">
        <v>2.77</v>
      </c>
      <c r="O41" s="30">
        <f t="shared" si="18"/>
        <v>1.385</v>
      </c>
      <c r="P41" s="33">
        <f t="shared" si="21"/>
        <v>-0.92500000000000004</v>
      </c>
    </row>
    <row r="42" spans="1:16" x14ac:dyDescent="0.2">
      <c r="A42" s="34" t="s">
        <v>85</v>
      </c>
      <c r="B42" s="20" t="s">
        <v>86</v>
      </c>
      <c r="C42" s="21">
        <v>44651</v>
      </c>
      <c r="D42" s="20">
        <v>2000</v>
      </c>
      <c r="E42" s="22">
        <v>1.3779999999999999</v>
      </c>
      <c r="F42" s="39">
        <v>0.38750000000000001</v>
      </c>
      <c r="G42" s="24">
        <f t="shared" si="19"/>
        <v>562.40928882438322</v>
      </c>
      <c r="H42" s="40">
        <f>'[1]auto data'!J45</f>
        <v>0.2</v>
      </c>
      <c r="I42" s="37">
        <v>0</v>
      </c>
      <c r="J42" s="22">
        <f>C170</f>
        <v>1.3430029546065001</v>
      </c>
      <c r="K42" s="24">
        <f t="shared" si="15"/>
        <v>297.84000000000003</v>
      </c>
      <c r="L42" s="27">
        <f t="shared" si="20"/>
        <v>-0.47042126451612903</v>
      </c>
      <c r="M42" s="28">
        <f t="shared" si="14"/>
        <v>-264.56928882438319</v>
      </c>
      <c r="N42" s="29">
        <v>0.45</v>
      </c>
      <c r="O42" s="30">
        <f t="shared" si="18"/>
        <v>0.22500000000000001</v>
      </c>
      <c r="P42" s="33">
        <f t="shared" si="21"/>
        <v>-0.16250000000000001</v>
      </c>
    </row>
    <row r="43" spans="1:16" x14ac:dyDescent="0.2">
      <c r="A43" s="34" t="s">
        <v>87</v>
      </c>
      <c r="B43" s="20" t="s">
        <v>88</v>
      </c>
      <c r="C43" s="21">
        <v>44657</v>
      </c>
      <c r="D43" s="20">
        <v>500</v>
      </c>
      <c r="E43" s="22">
        <v>1.3677999999999999</v>
      </c>
      <c r="F43" s="39">
        <v>1.595</v>
      </c>
      <c r="G43" s="24">
        <f t="shared" si="19"/>
        <v>583.05307793537065</v>
      </c>
      <c r="H43" s="40">
        <f>'[1]auto data'!J46</f>
        <v>1.0900000000000001</v>
      </c>
      <c r="I43" s="37">
        <v>0</v>
      </c>
      <c r="J43" s="22">
        <f>C170</f>
        <v>1.3430029546065001</v>
      </c>
      <c r="K43" s="24">
        <f t="shared" si="15"/>
        <v>405.80700000000002</v>
      </c>
      <c r="L43" s="27">
        <f t="shared" si="20"/>
        <v>-0.30399647072100311</v>
      </c>
      <c r="M43" s="28">
        <f t="shared" si="14"/>
        <v>-177.24607793537064</v>
      </c>
      <c r="N43" s="29">
        <v>1.75</v>
      </c>
      <c r="O43" s="30">
        <f>(N43+I43)*0.5</f>
        <v>0.875</v>
      </c>
      <c r="P43" s="33">
        <f t="shared" si="21"/>
        <v>-0.72</v>
      </c>
    </row>
    <row r="44" spans="1:16" x14ac:dyDescent="0.2">
      <c r="A44" s="20" t="s">
        <v>89</v>
      </c>
      <c r="B44" s="20" t="s">
        <v>90</v>
      </c>
      <c r="C44" s="21">
        <v>44676</v>
      </c>
      <c r="D44" s="20">
        <v>3000</v>
      </c>
      <c r="E44" s="22">
        <v>1.3337000000000001</v>
      </c>
      <c r="F44" s="39">
        <v>0.09</v>
      </c>
      <c r="G44" s="24">
        <f t="shared" si="19"/>
        <v>202.44432780985227</v>
      </c>
      <c r="H44" s="40">
        <f>'[1]auto data'!J47</f>
        <v>7.4999999999999997E-2</v>
      </c>
      <c r="I44" s="37">
        <v>0</v>
      </c>
      <c r="J44" s="22">
        <f>C170</f>
        <v>1.3430029546065001</v>
      </c>
      <c r="K44" s="24">
        <f t="shared" si="15"/>
        <v>167.535</v>
      </c>
      <c r="L44" s="27">
        <f t="shared" si="20"/>
        <v>-0.17243914999999993</v>
      </c>
      <c r="M44" s="28">
        <f t="shared" si="14"/>
        <v>-34.909327809852272</v>
      </c>
      <c r="N44" s="29">
        <v>0.14000000000000001</v>
      </c>
      <c r="O44" s="30">
        <f>(N44+I44)*0.5</f>
        <v>7.0000000000000007E-2</v>
      </c>
      <c r="P44" s="33">
        <f t="shared" si="21"/>
        <v>-1.999999999999999E-2</v>
      </c>
    </row>
    <row r="45" spans="1:16" x14ac:dyDescent="0.2">
      <c r="A45" s="20" t="s">
        <v>91</v>
      </c>
      <c r="B45" s="20" t="s">
        <v>92</v>
      </c>
      <c r="C45" s="21">
        <v>44712</v>
      </c>
      <c r="D45" s="20">
        <v>500</v>
      </c>
      <c r="E45" s="22">
        <v>1.3587</v>
      </c>
      <c r="F45" s="39">
        <v>0.57999999999999996</v>
      </c>
      <c r="G45" s="24">
        <f t="shared" si="19"/>
        <v>213.43931699418562</v>
      </c>
      <c r="H45" s="40">
        <f>'[1]auto data'!J41</f>
        <v>0.495</v>
      </c>
      <c r="I45" s="37">
        <v>0</v>
      </c>
      <c r="J45" s="22">
        <f>C170</f>
        <v>1.3430029546065001</v>
      </c>
      <c r="K45" s="24">
        <f t="shared" si="15"/>
        <v>184.2885</v>
      </c>
      <c r="L45" s="27">
        <f t="shared" si="20"/>
        <v>-0.13657660362068966</v>
      </c>
      <c r="M45" s="28">
        <f t="shared" si="14"/>
        <v>-29.150816994185618</v>
      </c>
      <c r="N45" s="29">
        <v>0.62</v>
      </c>
      <c r="O45" s="30">
        <f>(N45+I45)*0.5</f>
        <v>0.31</v>
      </c>
      <c r="P45" s="33">
        <f t="shared" si="21"/>
        <v>-0.26999999999999996</v>
      </c>
    </row>
    <row r="46" spans="1:16" x14ac:dyDescent="0.2">
      <c r="A46" s="2" t="s">
        <v>93</v>
      </c>
      <c r="B46" s="3"/>
      <c r="C46" s="3"/>
      <c r="D46" s="3"/>
      <c r="E46" s="3"/>
      <c r="F46" s="4"/>
      <c r="G46" s="5"/>
      <c r="H46" s="6"/>
      <c r="I46" s="6"/>
      <c r="J46" s="6"/>
      <c r="K46" s="7"/>
      <c r="L46" s="8" t="s">
        <v>1</v>
      </c>
      <c r="M46" s="9">
        <f>SUM(K48:K57)</f>
        <v>17483.083948</v>
      </c>
      <c r="N46" s="10"/>
      <c r="O46" s="11"/>
      <c r="P46" s="12">
        <f>M46/P175</f>
        <v>0.30720193435461773</v>
      </c>
    </row>
    <row r="47" spans="1:16" x14ac:dyDescent="0.2">
      <c r="A47" s="13" t="s">
        <v>2</v>
      </c>
      <c r="B47" s="13" t="s">
        <v>3</v>
      </c>
      <c r="C47" s="14" t="s">
        <v>4</v>
      </c>
      <c r="D47" s="13" t="s">
        <v>5</v>
      </c>
      <c r="E47" s="15" t="s">
        <v>6</v>
      </c>
      <c r="F47" s="13" t="s">
        <v>7</v>
      </c>
      <c r="G47" s="13" t="s">
        <v>8</v>
      </c>
      <c r="H47" s="16" t="s">
        <v>9</v>
      </c>
      <c r="I47" s="13" t="s">
        <v>10</v>
      </c>
      <c r="J47" s="15" t="s">
        <v>11</v>
      </c>
      <c r="K47" s="13" t="s">
        <v>12</v>
      </c>
      <c r="L47" s="13" t="s">
        <v>13</v>
      </c>
      <c r="M47" s="17" t="s">
        <v>14</v>
      </c>
      <c r="N47" s="18" t="s">
        <v>15</v>
      </c>
      <c r="O47" s="19" t="s">
        <v>16</v>
      </c>
      <c r="P47" s="17" t="s">
        <v>17</v>
      </c>
    </row>
    <row r="48" spans="1:16" x14ac:dyDescent="0.2">
      <c r="A48" s="20" t="s">
        <v>94</v>
      </c>
      <c r="B48" s="20" t="s">
        <v>95</v>
      </c>
      <c r="C48" s="21">
        <v>43906</v>
      </c>
      <c r="D48" s="20">
        <v>900</v>
      </c>
      <c r="E48" s="22">
        <v>1.1200000000000001</v>
      </c>
      <c r="F48" s="23">
        <v>2.5</v>
      </c>
      <c r="G48" s="24">
        <f t="shared" si="0"/>
        <v>2008.9285714285713</v>
      </c>
      <c r="H48" s="41">
        <f>'[1]auto data'!G3</f>
        <v>3.46</v>
      </c>
      <c r="I48" s="26">
        <f>[1]Dividend!P4</f>
        <v>0.99</v>
      </c>
      <c r="J48" s="22">
        <f>C169</f>
        <v>0.99641291351135908</v>
      </c>
      <c r="K48" s="24">
        <f t="shared" ref="K48:K53" si="22">((H48+I48)/J48)*D48</f>
        <v>4019.4180000000001</v>
      </c>
      <c r="L48" s="35">
        <f t="shared" ref="L48:L54" si="23">(K48-G48)/G48</f>
        <v>1.00077696</v>
      </c>
      <c r="M48" s="28">
        <f t="shared" si="11"/>
        <v>2010.4894285714288</v>
      </c>
      <c r="N48" s="29">
        <v>4.25</v>
      </c>
      <c r="O48" s="30">
        <f t="shared" ref="O48:O50" si="24">(N48+I48)*0.75</f>
        <v>3.93</v>
      </c>
      <c r="P48" s="31">
        <f t="shared" ref="P48:P54" si="25">O48-F48</f>
        <v>1.4300000000000002</v>
      </c>
    </row>
    <row r="49" spans="1:16" x14ac:dyDescent="0.2">
      <c r="A49" s="20" t="s">
        <v>96</v>
      </c>
      <c r="B49" s="20" t="s">
        <v>97</v>
      </c>
      <c r="C49" s="21">
        <v>44137</v>
      </c>
      <c r="D49" s="20">
        <v>30</v>
      </c>
      <c r="E49" s="22">
        <v>1.1639999999999999</v>
      </c>
      <c r="F49" s="23">
        <v>36.47</v>
      </c>
      <c r="G49" s="24">
        <f t="shared" si="0"/>
        <v>939.94845360824741</v>
      </c>
      <c r="H49" s="41">
        <f>'[1]auto data'!G5</f>
        <v>45.5</v>
      </c>
      <c r="I49" s="26">
        <f>[1]Dividend!P6</f>
        <v>7.12</v>
      </c>
      <c r="J49" s="22">
        <f>C169</f>
        <v>0.99641291351135908</v>
      </c>
      <c r="K49" s="24">
        <f t="shared" si="22"/>
        <v>1584.28296</v>
      </c>
      <c r="L49" s="35">
        <f t="shared" si="23"/>
        <v>0.6854998313134083</v>
      </c>
      <c r="M49" s="28">
        <f t="shared" si="11"/>
        <v>644.3345063917526</v>
      </c>
      <c r="N49" s="29">
        <v>55.37</v>
      </c>
      <c r="O49" s="30">
        <f t="shared" si="24"/>
        <v>46.867499999999993</v>
      </c>
      <c r="P49" s="31">
        <f t="shared" si="25"/>
        <v>10.397499999999994</v>
      </c>
    </row>
    <row r="50" spans="1:16" x14ac:dyDescent="0.2">
      <c r="A50" s="20" t="s">
        <v>98</v>
      </c>
      <c r="B50" s="20" t="s">
        <v>99</v>
      </c>
      <c r="C50" s="21">
        <v>44403</v>
      </c>
      <c r="D50" s="20">
        <v>100</v>
      </c>
      <c r="E50" s="22">
        <v>1</v>
      </c>
      <c r="F50" s="23">
        <v>16.3</v>
      </c>
      <c r="G50" s="24">
        <f t="shared" si="0"/>
        <v>1630</v>
      </c>
      <c r="H50" s="41">
        <f>'[1]auto data'!G7</f>
        <v>28.79</v>
      </c>
      <c r="I50" s="26">
        <f>[1]Dividend!P9</f>
        <v>1.2</v>
      </c>
      <c r="J50" s="22">
        <v>1</v>
      </c>
      <c r="K50" s="24">
        <f t="shared" si="22"/>
        <v>2999</v>
      </c>
      <c r="L50" s="35">
        <f t="shared" si="23"/>
        <v>0.83987730061349697</v>
      </c>
      <c r="M50" s="28">
        <f t="shared" si="11"/>
        <v>1369</v>
      </c>
      <c r="N50" s="42">
        <v>28.03</v>
      </c>
      <c r="O50" s="30">
        <f t="shared" si="24"/>
        <v>21.922499999999999</v>
      </c>
      <c r="P50" s="31">
        <f t="shared" si="25"/>
        <v>5.6224999999999987</v>
      </c>
    </row>
    <row r="51" spans="1:16" x14ac:dyDescent="0.2">
      <c r="A51" s="20" t="s">
        <v>100</v>
      </c>
      <c r="B51" s="20" t="s">
        <v>101</v>
      </c>
      <c r="C51" s="21">
        <v>44648</v>
      </c>
      <c r="D51" s="20">
        <v>12</v>
      </c>
      <c r="E51" s="22">
        <v>1.0988</v>
      </c>
      <c r="F51" s="23">
        <v>51.5</v>
      </c>
      <c r="G51" s="24">
        <f t="shared" si="0"/>
        <v>562.43174372042233</v>
      </c>
      <c r="H51" s="41">
        <f>'[1]auto data'!G8</f>
        <v>54.27</v>
      </c>
      <c r="I51" s="26">
        <f>[1]Dividend!P13</f>
        <v>4</v>
      </c>
      <c r="J51" s="22">
        <f>C169</f>
        <v>0.99641291351135908</v>
      </c>
      <c r="K51" s="24">
        <f>((H51+I51)/J51)*D51</f>
        <v>701.75726400000008</v>
      </c>
      <c r="L51" s="35">
        <f t="shared" si="23"/>
        <v>0.24771987327378642</v>
      </c>
      <c r="M51" s="28">
        <f t="shared" si="11"/>
        <v>139.32552027957774</v>
      </c>
      <c r="N51" s="42">
        <v>53.8</v>
      </c>
      <c r="O51" s="30">
        <f>(N51+I51)*0.75</f>
        <v>43.349999999999994</v>
      </c>
      <c r="P51" s="33">
        <f t="shared" si="25"/>
        <v>-8.1500000000000057</v>
      </c>
    </row>
    <row r="52" spans="1:16" x14ac:dyDescent="0.2">
      <c r="A52" s="20" t="s">
        <v>102</v>
      </c>
      <c r="B52" s="20" t="s">
        <v>103</v>
      </c>
      <c r="C52" s="21">
        <v>44651</v>
      </c>
      <c r="D52" s="20">
        <v>150</v>
      </c>
      <c r="E52" s="22">
        <v>1.0618000000000001</v>
      </c>
      <c r="F52" s="29">
        <v>16.25</v>
      </c>
      <c r="G52" s="24">
        <f>(F52*D52)/E52</f>
        <v>2295.6300621585983</v>
      </c>
      <c r="H52" s="43">
        <f>'[1]auto data'!W27</f>
        <v>14.39</v>
      </c>
      <c r="I52" s="26">
        <f>[1]Dividend!P18</f>
        <v>0.64</v>
      </c>
      <c r="J52" s="22">
        <f>C169</f>
        <v>0.99641291351135908</v>
      </c>
      <c r="K52" s="24">
        <f>((H52+I52)/J52)*D52</f>
        <v>2262.6162000000004</v>
      </c>
      <c r="L52" s="27">
        <f t="shared" si="23"/>
        <v>-1.4381176959999707E-2</v>
      </c>
      <c r="M52" s="28">
        <f t="shared" si="11"/>
        <v>-33.013862158597931</v>
      </c>
      <c r="N52" s="29">
        <v>20.83</v>
      </c>
      <c r="O52" s="30">
        <f>(N52+I52)*0.75</f>
        <v>16.102499999999999</v>
      </c>
      <c r="P52" s="33">
        <f t="shared" si="25"/>
        <v>-0.14750000000000085</v>
      </c>
    </row>
    <row r="53" spans="1:16" x14ac:dyDescent="0.2">
      <c r="A53" s="20" t="s">
        <v>104</v>
      </c>
      <c r="B53" s="20" t="s">
        <v>105</v>
      </c>
      <c r="C53" s="21">
        <v>44678</v>
      </c>
      <c r="D53" s="20">
        <v>30</v>
      </c>
      <c r="E53" s="22">
        <v>1.0464</v>
      </c>
      <c r="F53" s="23">
        <v>66.599999999999994</v>
      </c>
      <c r="G53" s="24">
        <f t="shared" si="0"/>
        <v>1909.4036697247705</v>
      </c>
      <c r="H53" s="41">
        <f>'[1]auto data'!W11</f>
        <v>58.34</v>
      </c>
      <c r="I53" s="26">
        <f>[1]Dividend!P20</f>
        <v>2.67</v>
      </c>
      <c r="J53" s="22">
        <f>C169</f>
        <v>0.99641291351135908</v>
      </c>
      <c r="K53" s="24">
        <f t="shared" si="22"/>
        <v>1836.8890800000001</v>
      </c>
      <c r="L53" s="27">
        <f t="shared" si="23"/>
        <v>-3.7977610954954784E-2</v>
      </c>
      <c r="M53" s="28">
        <f t="shared" si="11"/>
        <v>-72.514589724770303</v>
      </c>
      <c r="N53" s="42">
        <v>73.19</v>
      </c>
      <c r="O53" s="30">
        <f t="shared" ref="O53:O54" si="26">(N53+I53)*0.75</f>
        <v>56.894999999999996</v>
      </c>
      <c r="P53" s="33">
        <f t="shared" si="25"/>
        <v>-9.7049999999999983</v>
      </c>
    </row>
    <row r="54" spans="1:16" x14ac:dyDescent="0.2">
      <c r="A54" s="20" t="s">
        <v>106</v>
      </c>
      <c r="B54" s="20" t="s">
        <v>107</v>
      </c>
      <c r="C54" s="21">
        <v>44678</v>
      </c>
      <c r="D54" s="20">
        <v>30</v>
      </c>
      <c r="E54" s="22">
        <v>1.0464</v>
      </c>
      <c r="F54" s="23">
        <v>62.12</v>
      </c>
      <c r="G54" s="24">
        <f t="shared" si="0"/>
        <v>1780.9633027522934</v>
      </c>
      <c r="H54" s="41">
        <f>'[1]auto data'!W10</f>
        <v>53.04</v>
      </c>
      <c r="I54" s="26">
        <f>[1]Dividend!K19</f>
        <v>3.48</v>
      </c>
      <c r="J54" s="22">
        <f>C169</f>
        <v>0.99641291351135908</v>
      </c>
      <c r="K54" s="24">
        <f>((H54+I54)/J54)*D54</f>
        <v>1701.70416</v>
      </c>
      <c r="L54" s="27">
        <f t="shared" si="23"/>
        <v>-4.4503523811976739E-2</v>
      </c>
      <c r="M54" s="28">
        <f t="shared" si="11"/>
        <v>-79.259142752293428</v>
      </c>
      <c r="N54" s="42">
        <v>71.02</v>
      </c>
      <c r="O54" s="30">
        <f t="shared" si="26"/>
        <v>55.875</v>
      </c>
      <c r="P54" s="33">
        <f t="shared" si="25"/>
        <v>-6.2449999999999974</v>
      </c>
    </row>
    <row r="55" spans="1:16" x14ac:dyDescent="0.2">
      <c r="A55" s="20" t="s">
        <v>108</v>
      </c>
      <c r="B55" s="20" t="s">
        <v>109</v>
      </c>
      <c r="C55" s="21">
        <v>44714</v>
      </c>
      <c r="D55" s="20">
        <v>7</v>
      </c>
      <c r="E55" s="22">
        <v>1.0722</v>
      </c>
      <c r="F55" s="23">
        <v>0</v>
      </c>
      <c r="G55" s="24">
        <f t="shared" si="0"/>
        <v>0</v>
      </c>
      <c r="H55" s="41">
        <f>'[1]auto data'!G9</f>
        <v>25.35</v>
      </c>
      <c r="I55" s="26">
        <f>[1]Dividend!P21</f>
        <v>1.07</v>
      </c>
      <c r="J55" s="22">
        <f>C169</f>
        <v>0.99641291351135908</v>
      </c>
      <c r="K55" s="24">
        <f>((H55+I55)/J55)*D55</f>
        <v>185.60578400000003</v>
      </c>
      <c r="L55" s="38" t="s">
        <v>110</v>
      </c>
      <c r="M55" s="28">
        <f>K55-G55</f>
        <v>185.60578400000003</v>
      </c>
      <c r="N55" s="42"/>
      <c r="O55" s="30"/>
      <c r="P55" s="33"/>
    </row>
    <row r="56" spans="1:16" x14ac:dyDescent="0.2">
      <c r="A56" s="20" t="s">
        <v>111</v>
      </c>
      <c r="B56" s="20" t="s">
        <v>112</v>
      </c>
      <c r="C56" s="21">
        <v>44729</v>
      </c>
      <c r="D56" s="20">
        <v>100</v>
      </c>
      <c r="E56" s="22">
        <v>1.3684000000000001</v>
      </c>
      <c r="F56" s="26">
        <v>12.61</v>
      </c>
      <c r="G56" s="24">
        <f>(F56*D56)/E56</f>
        <v>921.51417714118679</v>
      </c>
      <c r="H56" s="43">
        <f>'[1]auto data'!G10</f>
        <v>17.38</v>
      </c>
      <c r="I56" s="26">
        <f>[1]Dividend!P15</f>
        <v>0.33999999999999997</v>
      </c>
      <c r="J56" s="22">
        <f>C170</f>
        <v>1.3430029546065001</v>
      </c>
      <c r="K56" s="24">
        <f>((H56+I56)/J56)*D56</f>
        <v>1319.4312</v>
      </c>
      <c r="L56" s="35">
        <f t="shared" ref="L56:L58" si="27">(K56-G56)/G56</f>
        <v>0.43180781449643141</v>
      </c>
      <c r="M56" s="28">
        <f t="shared" ref="M56:M58" si="28">K56-G56</f>
        <v>397.9170228588132</v>
      </c>
      <c r="N56" s="29">
        <v>16.350000000000001</v>
      </c>
      <c r="O56" s="30">
        <f>(N56+I56)*0.75</f>
        <v>12.517500000000002</v>
      </c>
      <c r="P56" s="33">
        <f t="shared" ref="P56:P58" si="29">O56-F56</f>
        <v>-9.2499999999997584E-2</v>
      </c>
    </row>
    <row r="57" spans="1:16" x14ac:dyDescent="0.2">
      <c r="A57" s="20" t="s">
        <v>113</v>
      </c>
      <c r="B57" s="20" t="s">
        <v>114</v>
      </c>
      <c r="C57" s="21">
        <v>44733</v>
      </c>
      <c r="D57" s="20">
        <v>25</v>
      </c>
      <c r="E57" s="22">
        <v>1.0536000000000001</v>
      </c>
      <c r="F57" s="26">
        <v>28.905000000000001</v>
      </c>
      <c r="G57" s="24">
        <f>(F57*D57)/E57</f>
        <v>685.86275626423685</v>
      </c>
      <c r="H57" s="43">
        <f>'[1]auto data'!G11</f>
        <v>34.07</v>
      </c>
      <c r="I57" s="26">
        <f>[1]Dividend!P16</f>
        <v>0.7</v>
      </c>
      <c r="J57" s="22">
        <f>C169</f>
        <v>0.99641291351135908</v>
      </c>
      <c r="K57" s="24">
        <f>((H57+I57)/J57)*D57</f>
        <v>872.37930000000006</v>
      </c>
      <c r="L57" s="35">
        <f t="shared" si="27"/>
        <v>0.27194441166580197</v>
      </c>
      <c r="M57" s="28">
        <f t="shared" si="28"/>
        <v>186.51654373576321</v>
      </c>
      <c r="N57" s="29">
        <v>33.18</v>
      </c>
      <c r="O57" s="30">
        <f>(N57+I57)*0.75</f>
        <v>25.410000000000004</v>
      </c>
      <c r="P57" s="33">
        <f t="shared" si="29"/>
        <v>-3.4949999999999974</v>
      </c>
    </row>
    <row r="58" spans="1:16" x14ac:dyDescent="0.2">
      <c r="A58" s="20" t="s">
        <v>115</v>
      </c>
      <c r="B58" s="20" t="s">
        <v>116</v>
      </c>
      <c r="C58" s="21">
        <v>44844</v>
      </c>
      <c r="D58" s="20">
        <v>35</v>
      </c>
      <c r="E58" s="22">
        <v>0.97170000000000001</v>
      </c>
      <c r="F58" s="26">
        <v>32.229999999999997</v>
      </c>
      <c r="G58" s="24">
        <f>(F58*D58)/E58</f>
        <v>1160.9035710610269</v>
      </c>
      <c r="H58" s="43">
        <f>'[1]auto data'!G12</f>
        <v>34.35</v>
      </c>
      <c r="I58" s="26">
        <v>0</v>
      </c>
      <c r="J58" s="22">
        <f>C169</f>
        <v>0.99641291351135908</v>
      </c>
      <c r="K58" s="24">
        <f>((H58+I58)/J58)*D58</f>
        <v>1206.5781000000002</v>
      </c>
      <c r="L58" s="35">
        <f t="shared" si="27"/>
        <v>3.9343947316165341E-2</v>
      </c>
      <c r="M58" s="28">
        <f t="shared" si="28"/>
        <v>45.674528938973253</v>
      </c>
      <c r="N58" s="29">
        <v>32.9</v>
      </c>
      <c r="O58" s="30">
        <f>(N58+I58)*0.75</f>
        <v>24.674999999999997</v>
      </c>
      <c r="P58" s="33">
        <f t="shared" si="29"/>
        <v>-7.5549999999999997</v>
      </c>
    </row>
    <row r="59" spans="1:16" x14ac:dyDescent="0.2">
      <c r="A59" s="2" t="s">
        <v>117</v>
      </c>
      <c r="B59" s="3"/>
      <c r="C59" s="3"/>
      <c r="D59" s="3"/>
      <c r="E59" s="3"/>
      <c r="F59" s="4"/>
      <c r="G59" s="44"/>
      <c r="H59" s="45"/>
      <c r="I59" s="45"/>
      <c r="J59" s="45"/>
      <c r="K59" s="46"/>
      <c r="L59" s="8" t="s">
        <v>1</v>
      </c>
      <c r="M59" s="9">
        <f>SUM(K61:K72)</f>
        <v>2795.631218</v>
      </c>
      <c r="N59" s="10"/>
      <c r="O59" s="11"/>
      <c r="P59" s="12">
        <f>M59/P175</f>
        <v>4.9123102106365064E-2</v>
      </c>
    </row>
    <row r="60" spans="1:16" x14ac:dyDescent="0.2">
      <c r="A60" s="13" t="s">
        <v>2</v>
      </c>
      <c r="B60" s="13" t="s">
        <v>3</v>
      </c>
      <c r="C60" s="14" t="s">
        <v>4</v>
      </c>
      <c r="D60" s="13" t="s">
        <v>5</v>
      </c>
      <c r="E60" s="15" t="s">
        <v>6</v>
      </c>
      <c r="F60" s="13" t="s">
        <v>7</v>
      </c>
      <c r="G60" s="13" t="s">
        <v>8</v>
      </c>
      <c r="H60" s="16" t="s">
        <v>9</v>
      </c>
      <c r="I60" s="13" t="s">
        <v>10</v>
      </c>
      <c r="J60" s="15" t="s">
        <v>11</v>
      </c>
      <c r="K60" s="13" t="s">
        <v>12</v>
      </c>
      <c r="L60" s="13" t="s">
        <v>13</v>
      </c>
      <c r="M60" s="17" t="s">
        <v>14</v>
      </c>
      <c r="N60" s="18" t="s">
        <v>15</v>
      </c>
      <c r="O60" s="19" t="s">
        <v>16</v>
      </c>
      <c r="P60" s="17" t="s">
        <v>17</v>
      </c>
    </row>
    <row r="61" spans="1:16" x14ac:dyDescent="0.2">
      <c r="A61" s="20" t="s">
        <v>118</v>
      </c>
      <c r="B61" s="20" t="s">
        <v>119</v>
      </c>
      <c r="C61" s="21">
        <v>44285</v>
      </c>
      <c r="D61" s="20">
        <v>100</v>
      </c>
      <c r="E61" s="22">
        <v>1.48</v>
      </c>
      <c r="F61" s="23">
        <v>3.36</v>
      </c>
      <c r="G61" s="24">
        <f t="shared" si="0"/>
        <v>227.02702702702703</v>
      </c>
      <c r="H61" s="47">
        <f>'[1]auto data'!M8</f>
        <v>3.3</v>
      </c>
      <c r="I61" s="20">
        <v>0</v>
      </c>
      <c r="J61" s="22">
        <f>C170</f>
        <v>1.3430029546065001</v>
      </c>
      <c r="K61" s="24">
        <f t="shared" ref="K61:K72" si="30">((H61+I61)/J61)*D61</f>
        <v>245.71800000000002</v>
      </c>
      <c r="L61" s="35">
        <f t="shared" ref="L61:L72" si="31">(K61-G61)/G61</f>
        <v>8.2329285714285771E-2</v>
      </c>
      <c r="M61" s="28">
        <f t="shared" ref="M61:M72" si="32">K61-G61</f>
        <v>18.690972972972986</v>
      </c>
      <c r="N61" s="29">
        <v>2</v>
      </c>
      <c r="O61" s="30">
        <f t="shared" ref="O61:O72" si="33">(N61+I61)*0.5</f>
        <v>1</v>
      </c>
      <c r="P61" s="33">
        <f t="shared" ref="P61:P72" si="34">O61-F61</f>
        <v>-2.36</v>
      </c>
    </row>
    <row r="62" spans="1:16" x14ac:dyDescent="0.2">
      <c r="A62" s="20" t="s">
        <v>120</v>
      </c>
      <c r="B62" s="20" t="s">
        <v>121</v>
      </c>
      <c r="C62" s="21">
        <v>44459</v>
      </c>
      <c r="D62" s="20">
        <v>400</v>
      </c>
      <c r="E62" s="22">
        <v>1.4643999999999999</v>
      </c>
      <c r="F62" s="23">
        <v>0.82</v>
      </c>
      <c r="G62" s="24">
        <f t="shared" si="0"/>
        <v>223.98251843758538</v>
      </c>
      <c r="H62" s="47">
        <f>'[1]auto data'!M9</f>
        <v>0.65</v>
      </c>
      <c r="I62" s="20">
        <v>0</v>
      </c>
      <c r="J62" s="22">
        <f>C170</f>
        <v>1.3430029546065001</v>
      </c>
      <c r="K62" s="24">
        <f t="shared" si="30"/>
        <v>193.596</v>
      </c>
      <c r="L62" s="48">
        <f t="shared" si="31"/>
        <v>-0.13566468780487811</v>
      </c>
      <c r="M62" s="28">
        <f t="shared" si="32"/>
        <v>-30.38651843758538</v>
      </c>
      <c r="N62" s="29">
        <v>1.1499999999999999</v>
      </c>
      <c r="O62" s="30">
        <f t="shared" si="33"/>
        <v>0.57499999999999996</v>
      </c>
      <c r="P62" s="33">
        <f t="shared" si="34"/>
        <v>-0.245</v>
      </c>
    </row>
    <row r="63" spans="1:16" x14ac:dyDescent="0.2">
      <c r="A63" s="20" t="s">
        <v>122</v>
      </c>
      <c r="B63" s="20" t="s">
        <v>123</v>
      </c>
      <c r="C63" s="21">
        <v>44466</v>
      </c>
      <c r="D63" s="20">
        <v>800</v>
      </c>
      <c r="E63" s="22">
        <v>1.4795</v>
      </c>
      <c r="F63" s="23">
        <v>0.48</v>
      </c>
      <c r="G63" s="24">
        <f t="shared" si="0"/>
        <v>259.5471443055086</v>
      </c>
      <c r="H63" s="47">
        <f>'[1]auto data'!M11</f>
        <v>0.36499999999999999</v>
      </c>
      <c r="I63" s="20">
        <v>0</v>
      </c>
      <c r="J63" s="22">
        <f>C170</f>
        <v>1.3430029546065001</v>
      </c>
      <c r="K63" s="24">
        <f t="shared" si="30"/>
        <v>217.42320000000001</v>
      </c>
      <c r="L63" s="27">
        <f t="shared" si="31"/>
        <v>-0.16229785312499989</v>
      </c>
      <c r="M63" s="28">
        <f t="shared" si="32"/>
        <v>-42.123944305508587</v>
      </c>
      <c r="N63" s="29">
        <v>0.8</v>
      </c>
      <c r="O63" s="30">
        <f t="shared" si="33"/>
        <v>0.4</v>
      </c>
      <c r="P63" s="33">
        <f t="shared" si="34"/>
        <v>-7.999999999999996E-2</v>
      </c>
    </row>
    <row r="64" spans="1:16" x14ac:dyDescent="0.2">
      <c r="A64" s="20" t="s">
        <v>124</v>
      </c>
      <c r="B64" s="20" t="s">
        <v>125</v>
      </c>
      <c r="C64" s="21">
        <v>44469</v>
      </c>
      <c r="D64" s="20">
        <v>500</v>
      </c>
      <c r="E64" s="22">
        <v>1.5638000000000001</v>
      </c>
      <c r="F64" s="23">
        <v>0.83</v>
      </c>
      <c r="G64" s="24">
        <f t="shared" si="0"/>
        <v>265.37920450185442</v>
      </c>
      <c r="H64" s="47">
        <f>'[1]auto data'!M14</f>
        <v>0.745</v>
      </c>
      <c r="I64" s="20">
        <v>0</v>
      </c>
      <c r="J64" s="22">
        <f>C171</f>
        <v>1.5410695022345506</v>
      </c>
      <c r="K64" s="24">
        <f t="shared" si="30"/>
        <v>241.71525000000003</v>
      </c>
      <c r="L64" s="27">
        <f t="shared" si="31"/>
        <v>-8.9170342289156393E-2</v>
      </c>
      <c r="M64" s="28">
        <f t="shared" si="32"/>
        <v>-23.663954501854391</v>
      </c>
      <c r="N64" s="29">
        <v>1.1399999999999999</v>
      </c>
      <c r="O64" s="30">
        <f t="shared" si="33"/>
        <v>0.56999999999999995</v>
      </c>
      <c r="P64" s="33">
        <f t="shared" si="34"/>
        <v>-0.26</v>
      </c>
    </row>
    <row r="65" spans="1:16" x14ac:dyDescent="0.2">
      <c r="A65" s="20" t="s">
        <v>126</v>
      </c>
      <c r="B65" s="20" t="s">
        <v>127</v>
      </c>
      <c r="C65" s="21">
        <v>44481</v>
      </c>
      <c r="D65" s="20">
        <v>150</v>
      </c>
      <c r="E65" s="22">
        <v>1.397</v>
      </c>
      <c r="F65" s="23">
        <v>2.3450000000000002</v>
      </c>
      <c r="G65" s="24">
        <f t="shared" si="0"/>
        <v>251.78954903364357</v>
      </c>
      <c r="H65" s="47">
        <f>'[1]auto data'!M15</f>
        <v>1.83</v>
      </c>
      <c r="I65" s="20">
        <v>0</v>
      </c>
      <c r="J65" s="22">
        <f>C170</f>
        <v>1.3430029546065001</v>
      </c>
      <c r="K65" s="24">
        <f t="shared" si="30"/>
        <v>204.39270000000002</v>
      </c>
      <c r="L65" s="27">
        <f t="shared" si="31"/>
        <v>-0.18823993773987213</v>
      </c>
      <c r="M65" s="28">
        <f t="shared" si="32"/>
        <v>-47.396849033643548</v>
      </c>
      <c r="N65" s="29">
        <v>2.85</v>
      </c>
      <c r="O65" s="30">
        <f t="shared" si="33"/>
        <v>1.425</v>
      </c>
      <c r="P65" s="33">
        <f t="shared" si="34"/>
        <v>-0.92000000000000015</v>
      </c>
    </row>
    <row r="66" spans="1:16" x14ac:dyDescent="0.2">
      <c r="A66" s="20" t="s">
        <v>128</v>
      </c>
      <c r="B66" s="20" t="s">
        <v>129</v>
      </c>
      <c r="C66" s="21">
        <v>44627</v>
      </c>
      <c r="D66" s="20">
        <v>42</v>
      </c>
      <c r="E66" s="22">
        <v>1.4056999999999999</v>
      </c>
      <c r="F66" s="23">
        <v>0.8</v>
      </c>
      <c r="G66" s="24">
        <f t="shared" si="0"/>
        <v>23.902681937824575</v>
      </c>
      <c r="H66" s="47">
        <v>0.99</v>
      </c>
      <c r="I66" s="20">
        <v>0</v>
      </c>
      <c r="J66" s="22">
        <f>C170</f>
        <v>1.3430029546065001</v>
      </c>
      <c r="K66" s="24">
        <f t="shared" si="30"/>
        <v>30.960467999999999</v>
      </c>
      <c r="L66" s="35">
        <f t="shared" si="31"/>
        <v>0.29527172224999976</v>
      </c>
      <c r="M66" s="28">
        <f t="shared" si="32"/>
        <v>7.057786062175424</v>
      </c>
      <c r="N66" s="29">
        <v>1.1499999999999999</v>
      </c>
      <c r="O66" s="30">
        <f t="shared" si="33"/>
        <v>0.57499999999999996</v>
      </c>
      <c r="P66" s="33">
        <f t="shared" si="34"/>
        <v>-0.22500000000000009</v>
      </c>
    </row>
    <row r="67" spans="1:16" x14ac:dyDescent="0.2">
      <c r="A67" s="20" t="s">
        <v>130</v>
      </c>
      <c r="B67" s="20" t="s">
        <v>131</v>
      </c>
      <c r="C67" s="21">
        <v>44488</v>
      </c>
      <c r="D67" s="20">
        <v>1000</v>
      </c>
      <c r="E67" s="22">
        <v>1.4415</v>
      </c>
      <c r="F67" s="23">
        <v>0.315</v>
      </c>
      <c r="G67" s="24">
        <f t="shared" si="0"/>
        <v>218.52237252861602</v>
      </c>
      <c r="H67" s="47">
        <f>'[1]auto data'!M16</f>
        <v>0.22500000000000001</v>
      </c>
      <c r="I67" s="20">
        <v>0</v>
      </c>
      <c r="J67" s="22">
        <f>C170</f>
        <v>1.3430029546065001</v>
      </c>
      <c r="K67" s="24">
        <f t="shared" si="30"/>
        <v>167.53500000000003</v>
      </c>
      <c r="L67" s="27">
        <f t="shared" si="31"/>
        <v>-0.23332792857142842</v>
      </c>
      <c r="M67" s="28">
        <f t="shared" si="32"/>
        <v>-50.987372528615992</v>
      </c>
      <c r="N67" s="29">
        <v>0.41</v>
      </c>
      <c r="O67" s="30">
        <f t="shared" si="33"/>
        <v>0.20499999999999999</v>
      </c>
      <c r="P67" s="33">
        <f t="shared" si="34"/>
        <v>-0.11000000000000001</v>
      </c>
    </row>
    <row r="68" spans="1:16" x14ac:dyDescent="0.2">
      <c r="A68" s="20" t="s">
        <v>132</v>
      </c>
      <c r="B68" s="20" t="s">
        <v>133</v>
      </c>
      <c r="C68" s="21">
        <v>44488</v>
      </c>
      <c r="D68" s="20">
        <v>200</v>
      </c>
      <c r="E68" s="22">
        <v>1.3685</v>
      </c>
      <c r="F68" s="23">
        <v>1.27</v>
      </c>
      <c r="G68" s="24">
        <f t="shared" si="0"/>
        <v>185.60467665326999</v>
      </c>
      <c r="H68" s="47">
        <f>'[1]auto data'!M17</f>
        <v>1.0549999999999999</v>
      </c>
      <c r="I68" s="20">
        <v>0</v>
      </c>
      <c r="J68" s="22">
        <f>C170</f>
        <v>1.3430029546065001</v>
      </c>
      <c r="K68" s="24">
        <f t="shared" si="30"/>
        <v>157.11059999999998</v>
      </c>
      <c r="L68" s="27">
        <f t="shared" si="31"/>
        <v>-0.1535202515748032</v>
      </c>
      <c r="M68" s="28">
        <f t="shared" si="32"/>
        <v>-28.494076653270014</v>
      </c>
      <c r="N68" s="29">
        <v>2.91</v>
      </c>
      <c r="O68" s="30">
        <f t="shared" si="33"/>
        <v>1.4550000000000001</v>
      </c>
      <c r="P68" s="33">
        <f t="shared" si="34"/>
        <v>0.18500000000000005</v>
      </c>
    </row>
    <row r="69" spans="1:16" x14ac:dyDescent="0.2">
      <c r="A69" s="34" t="s">
        <v>134</v>
      </c>
      <c r="B69" s="20" t="s">
        <v>135</v>
      </c>
      <c r="C69" s="21">
        <v>44522</v>
      </c>
      <c r="D69" s="20">
        <v>1600</v>
      </c>
      <c r="E69" s="22">
        <v>1.3895</v>
      </c>
      <c r="F69" s="23">
        <v>0.34499999999999997</v>
      </c>
      <c r="G69" s="24">
        <f t="shared" si="0"/>
        <v>397.26520331054337</v>
      </c>
      <c r="H69" s="47">
        <f>'[1]auto data'!M18</f>
        <v>0.215</v>
      </c>
      <c r="I69" s="20">
        <v>0</v>
      </c>
      <c r="J69" s="22">
        <f>C170</f>
        <v>1.3430029546065001</v>
      </c>
      <c r="K69" s="24">
        <f t="shared" si="30"/>
        <v>256.14240000000001</v>
      </c>
      <c r="L69" s="27">
        <f t="shared" si="31"/>
        <v>-0.35523575217391301</v>
      </c>
      <c r="M69" s="28">
        <f t="shared" si="32"/>
        <v>-141.12280331054336</v>
      </c>
      <c r="N69" s="29">
        <v>0.5</v>
      </c>
      <c r="O69" s="30">
        <f t="shared" si="33"/>
        <v>0.25</v>
      </c>
      <c r="P69" s="33">
        <f t="shared" si="34"/>
        <v>-9.4999999999999973E-2</v>
      </c>
    </row>
    <row r="70" spans="1:16" x14ac:dyDescent="0.2">
      <c r="A70" s="20" t="s">
        <v>136</v>
      </c>
      <c r="B70" s="20" t="s">
        <v>137</v>
      </c>
      <c r="C70" s="21">
        <v>44522</v>
      </c>
      <c r="D70" s="20">
        <v>400</v>
      </c>
      <c r="E70" s="22">
        <v>1.393</v>
      </c>
      <c r="F70" s="23">
        <v>0.625</v>
      </c>
      <c r="G70" s="24">
        <f t="shared" si="0"/>
        <v>179.46877243359654</v>
      </c>
      <c r="H70" s="47">
        <f>'[1]auto data'!M19</f>
        <v>0.56999999999999995</v>
      </c>
      <c r="I70" s="20">
        <v>0</v>
      </c>
      <c r="J70" s="22">
        <f>C170</f>
        <v>1.3430029546065001</v>
      </c>
      <c r="K70" s="24">
        <f t="shared" si="30"/>
        <v>169.7688</v>
      </c>
      <c r="L70" s="27">
        <f t="shared" si="31"/>
        <v>-5.4048246399999937E-2</v>
      </c>
      <c r="M70" s="28">
        <f t="shared" si="32"/>
        <v>-9.6999724335965425</v>
      </c>
      <c r="N70" s="29">
        <v>0.87</v>
      </c>
      <c r="O70" s="30">
        <f t="shared" si="33"/>
        <v>0.435</v>
      </c>
      <c r="P70" s="33">
        <f t="shared" si="34"/>
        <v>-0.19</v>
      </c>
    </row>
    <row r="71" spans="1:16" x14ac:dyDescent="0.2">
      <c r="A71" s="32" t="s">
        <v>138</v>
      </c>
      <c r="B71" s="20" t="s">
        <v>139</v>
      </c>
      <c r="C71" s="21">
        <v>44672</v>
      </c>
      <c r="D71" s="20">
        <v>100</v>
      </c>
      <c r="E71" s="22">
        <v>1.0837000000000001</v>
      </c>
      <c r="F71" s="23">
        <v>8.67</v>
      </c>
      <c r="G71" s="24">
        <f t="shared" si="0"/>
        <v>800.03691058410993</v>
      </c>
      <c r="H71" s="47">
        <f>'[1]auto data'!M6</f>
        <v>6.91</v>
      </c>
      <c r="I71" s="20">
        <v>0</v>
      </c>
      <c r="J71" s="22">
        <f>C169</f>
        <v>0.99641291351135908</v>
      </c>
      <c r="K71" s="24">
        <f t="shared" si="30"/>
        <v>693.48760000000004</v>
      </c>
      <c r="L71" s="27">
        <f t="shared" si="31"/>
        <v>-0.13318049351787761</v>
      </c>
      <c r="M71" s="28">
        <f t="shared" si="32"/>
        <v>-106.54931058410989</v>
      </c>
      <c r="N71" s="29">
        <v>8.67</v>
      </c>
      <c r="O71" s="30">
        <f t="shared" si="33"/>
        <v>4.335</v>
      </c>
      <c r="P71" s="33">
        <f t="shared" si="34"/>
        <v>-4.335</v>
      </c>
    </row>
    <row r="72" spans="1:16" x14ac:dyDescent="0.2">
      <c r="A72" s="32" t="s">
        <v>140</v>
      </c>
      <c r="B72" s="20" t="s">
        <v>141</v>
      </c>
      <c r="C72" s="21">
        <v>44672</v>
      </c>
      <c r="D72" s="20">
        <v>100</v>
      </c>
      <c r="E72" s="22">
        <v>1.3634999999999999</v>
      </c>
      <c r="F72" s="23">
        <v>4.88</v>
      </c>
      <c r="G72" s="24">
        <f t="shared" si="0"/>
        <v>357.90245691235793</v>
      </c>
      <c r="H72" s="47">
        <f>'[1]auto data'!T15</f>
        <v>2.9248079505774913</v>
      </c>
      <c r="I72" s="20">
        <v>0</v>
      </c>
      <c r="J72" s="22">
        <f>C170</f>
        <v>1.3430029546065001</v>
      </c>
      <c r="K72" s="24">
        <f t="shared" si="30"/>
        <v>217.78120000000004</v>
      </c>
      <c r="L72" s="27">
        <f t="shared" si="31"/>
        <v>-0.39150683155737698</v>
      </c>
      <c r="M72" s="28">
        <f t="shared" si="32"/>
        <v>-140.12125691235789</v>
      </c>
      <c r="N72" s="29">
        <v>4.58</v>
      </c>
      <c r="O72" s="30">
        <f t="shared" si="33"/>
        <v>2.29</v>
      </c>
      <c r="P72" s="33">
        <f t="shared" si="34"/>
        <v>-2.59</v>
      </c>
    </row>
    <row r="73" spans="1:16" x14ac:dyDescent="0.2">
      <c r="A73" s="2" t="s">
        <v>142</v>
      </c>
      <c r="B73" s="3"/>
      <c r="C73" s="3"/>
      <c r="D73" s="3"/>
      <c r="E73" s="3"/>
      <c r="F73" s="4"/>
      <c r="G73" s="5"/>
      <c r="H73" s="6"/>
      <c r="I73" s="6"/>
      <c r="J73" s="6"/>
      <c r="K73" s="7"/>
      <c r="L73" s="8" t="s">
        <v>1</v>
      </c>
      <c r="M73" s="9">
        <f>SUM(K75:K80)</f>
        <v>3142.6491000000001</v>
      </c>
      <c r="N73" s="10"/>
      <c r="O73" s="11"/>
      <c r="P73" s="12">
        <f>M73/P175</f>
        <v>5.5220685628992822E-2</v>
      </c>
    </row>
    <row r="74" spans="1:16" x14ac:dyDescent="0.2">
      <c r="A74" s="13" t="s">
        <v>2</v>
      </c>
      <c r="B74" s="13" t="s">
        <v>3</v>
      </c>
      <c r="C74" s="14" t="s">
        <v>4</v>
      </c>
      <c r="D74" s="13" t="s">
        <v>5</v>
      </c>
      <c r="E74" s="15" t="s">
        <v>6</v>
      </c>
      <c r="F74" s="13" t="s">
        <v>7</v>
      </c>
      <c r="G74" s="13" t="s">
        <v>8</v>
      </c>
      <c r="H74" s="16" t="s">
        <v>9</v>
      </c>
      <c r="I74" s="13" t="s">
        <v>10</v>
      </c>
      <c r="J74" s="15" t="s">
        <v>11</v>
      </c>
      <c r="K74" s="13" t="s">
        <v>12</v>
      </c>
      <c r="L74" s="13" t="s">
        <v>13</v>
      </c>
      <c r="M74" s="17" t="s">
        <v>14</v>
      </c>
      <c r="N74" s="18" t="s">
        <v>15</v>
      </c>
      <c r="O74" s="19" t="s">
        <v>16</v>
      </c>
      <c r="P74" s="17" t="s">
        <v>17</v>
      </c>
    </row>
    <row r="75" spans="1:16" x14ac:dyDescent="0.2">
      <c r="A75" s="34" t="s">
        <v>143</v>
      </c>
      <c r="B75" s="20" t="s">
        <v>144</v>
      </c>
      <c r="C75" s="21">
        <v>44187</v>
      </c>
      <c r="D75" s="20">
        <v>1000</v>
      </c>
      <c r="E75" s="22">
        <v>1.407</v>
      </c>
      <c r="F75" s="26">
        <v>2.19</v>
      </c>
      <c r="G75" s="24">
        <f t="shared" si="0"/>
        <v>1556.503198294243</v>
      </c>
      <c r="H75" s="43">
        <f>'[1]auto data'!P4</f>
        <v>1.71</v>
      </c>
      <c r="I75" s="20">
        <v>0</v>
      </c>
      <c r="J75" s="22">
        <f>C170</f>
        <v>1.3430029546065001</v>
      </c>
      <c r="K75" s="24">
        <f>((H75+I75)/J75)*D75</f>
        <v>1273.2660000000001</v>
      </c>
      <c r="L75" s="27">
        <f t="shared" ref="L75:L81" si="35">(K75-G75)/G75</f>
        <v>-0.18197019999999992</v>
      </c>
      <c r="M75" s="28">
        <f t="shared" ref="M75:M81" si="36">K75-G75</f>
        <v>-283.23719829424294</v>
      </c>
      <c r="N75" s="29">
        <v>2.54</v>
      </c>
      <c r="O75" s="30">
        <f>(N75+I75)*0.5</f>
        <v>1.27</v>
      </c>
      <c r="P75" s="33">
        <f t="shared" ref="P75:P81" si="37">O75-F75</f>
        <v>-0.91999999999999993</v>
      </c>
    </row>
    <row r="76" spans="1:16" x14ac:dyDescent="0.2">
      <c r="A76" s="20" t="s">
        <v>145</v>
      </c>
      <c r="B76" s="20" t="s">
        <v>146</v>
      </c>
      <c r="C76" s="21">
        <v>44246</v>
      </c>
      <c r="D76" s="20">
        <v>1000</v>
      </c>
      <c r="E76" s="22">
        <v>1.54</v>
      </c>
      <c r="F76" s="26">
        <v>0.34</v>
      </c>
      <c r="G76" s="24">
        <f t="shared" si="0"/>
        <v>220.77922077922076</v>
      </c>
      <c r="H76" s="43">
        <f>'[1]auto data'!P5</f>
        <v>0.24</v>
      </c>
      <c r="I76" s="20">
        <v>0</v>
      </c>
      <c r="J76" s="22">
        <f>C170</f>
        <v>1.3430029546065001</v>
      </c>
      <c r="K76" s="24">
        <f>((H76+I76)/J76)*D76</f>
        <v>178.70400000000001</v>
      </c>
      <c r="L76" s="27">
        <f t="shared" si="35"/>
        <v>-0.19057599999999991</v>
      </c>
      <c r="M76" s="28">
        <f t="shared" si="36"/>
        <v>-42.075220779220757</v>
      </c>
      <c r="N76" s="29">
        <v>0.4</v>
      </c>
      <c r="O76" s="30">
        <f t="shared" ref="O76:O81" si="38">(N76+I76)*0.33</f>
        <v>0.13200000000000001</v>
      </c>
      <c r="P76" s="33">
        <f t="shared" si="37"/>
        <v>-0.20800000000000002</v>
      </c>
    </row>
    <row r="77" spans="1:16" x14ac:dyDescent="0.2">
      <c r="A77" s="20" t="s">
        <v>147</v>
      </c>
      <c r="B77" s="20" t="s">
        <v>148</v>
      </c>
      <c r="C77" s="21">
        <v>44552</v>
      </c>
      <c r="D77" s="20">
        <v>2000</v>
      </c>
      <c r="E77" s="22">
        <v>1.4006000000000001</v>
      </c>
      <c r="F77" s="26">
        <v>0.15375</v>
      </c>
      <c r="G77" s="24">
        <f t="shared" si="0"/>
        <v>219.54876481507924</v>
      </c>
      <c r="H77" s="43">
        <f>'[1]auto data'!W19</f>
        <v>0.2</v>
      </c>
      <c r="I77" s="20">
        <v>0</v>
      </c>
      <c r="J77" s="22">
        <f>C170</f>
        <v>1.3430029546065001</v>
      </c>
      <c r="K77" s="24">
        <f>((H77+I77)/J77)*D77</f>
        <v>297.84000000000003</v>
      </c>
      <c r="L77" s="35">
        <f t="shared" si="35"/>
        <v>0.35660066341463437</v>
      </c>
      <c r="M77" s="28">
        <f t="shared" si="36"/>
        <v>78.291235184920794</v>
      </c>
      <c r="N77" s="29">
        <v>0.2</v>
      </c>
      <c r="O77" s="30">
        <f t="shared" si="38"/>
        <v>6.6000000000000003E-2</v>
      </c>
      <c r="P77" s="33">
        <f t="shared" si="37"/>
        <v>-8.7749999999999995E-2</v>
      </c>
    </row>
    <row r="78" spans="1:16" x14ac:dyDescent="0.2">
      <c r="A78" s="20" t="s">
        <v>149</v>
      </c>
      <c r="B78" s="20" t="s">
        <v>150</v>
      </c>
      <c r="C78" s="21">
        <v>44552</v>
      </c>
      <c r="D78" s="20">
        <v>100</v>
      </c>
      <c r="E78" s="22">
        <v>0.8488</v>
      </c>
      <c r="F78" s="37">
        <v>389</v>
      </c>
      <c r="G78" s="24">
        <f>(F78*D78)/E78/100</f>
        <v>458.29406220546656</v>
      </c>
      <c r="H78" s="49">
        <f>'[1]auto data'!W18</f>
        <v>282</v>
      </c>
      <c r="I78" s="26">
        <f>[1]Dividend!P22</f>
        <v>3</v>
      </c>
      <c r="J78" s="22">
        <f>C172</f>
        <v>0.87596355991590757</v>
      </c>
      <c r="K78" s="24">
        <f>((H78+I78)/J78)*D78/100</f>
        <v>325.35599999999999</v>
      </c>
      <c r="L78" s="27">
        <f t="shared" si="35"/>
        <v>-0.29007153521850904</v>
      </c>
      <c r="M78" s="28">
        <f t="shared" si="36"/>
        <v>-132.93806220546657</v>
      </c>
      <c r="N78" s="50">
        <v>408</v>
      </c>
      <c r="O78" s="51">
        <f t="shared" si="38"/>
        <v>135.63</v>
      </c>
      <c r="P78" s="33">
        <f t="shared" si="37"/>
        <v>-253.37</v>
      </c>
    </row>
    <row r="79" spans="1:16" x14ac:dyDescent="0.2">
      <c r="A79" s="34" t="s">
        <v>151</v>
      </c>
      <c r="B79" s="20" t="s">
        <v>152</v>
      </c>
      <c r="C79" s="21">
        <v>44559</v>
      </c>
      <c r="D79" s="20">
        <v>400</v>
      </c>
      <c r="E79" s="22">
        <v>1.1322000000000001</v>
      </c>
      <c r="F79" s="26">
        <v>1.36</v>
      </c>
      <c r="G79" s="24">
        <f>(F79*D79)/E79</f>
        <v>480.48048048048042</v>
      </c>
      <c r="H79" s="43">
        <f>'[1]auto data'!P6</f>
        <v>0.54</v>
      </c>
      <c r="I79" s="20">
        <v>0</v>
      </c>
      <c r="J79" s="22">
        <f>C169</f>
        <v>0.99641291351135908</v>
      </c>
      <c r="K79" s="24">
        <f>((H79+I79)/J79)*D79</f>
        <v>216.77760000000004</v>
      </c>
      <c r="L79" s="27">
        <f t="shared" si="35"/>
        <v>-0.54883161999999996</v>
      </c>
      <c r="M79" s="28">
        <f t="shared" si="36"/>
        <v>-263.70288048048042</v>
      </c>
      <c r="N79" s="29">
        <v>1.73</v>
      </c>
      <c r="O79" s="30">
        <f t="shared" si="38"/>
        <v>0.57090000000000007</v>
      </c>
      <c r="P79" s="33">
        <f t="shared" si="37"/>
        <v>-0.78910000000000002</v>
      </c>
    </row>
    <row r="80" spans="1:16" x14ac:dyDescent="0.2">
      <c r="A80" s="20" t="s">
        <v>153</v>
      </c>
      <c r="B80" s="20" t="s">
        <v>154</v>
      </c>
      <c r="C80" s="21">
        <v>44722</v>
      </c>
      <c r="D80" s="20">
        <v>50</v>
      </c>
      <c r="E80" s="22">
        <v>1.3461000000000001</v>
      </c>
      <c r="F80" s="26">
        <v>19.48</v>
      </c>
      <c r="G80" s="24">
        <f>(F80*D80)/E80</f>
        <v>723.57180001485767</v>
      </c>
      <c r="H80" s="43">
        <f>'[1]auto data'!P8</f>
        <v>22.85</v>
      </c>
      <c r="I80" s="20">
        <v>0</v>
      </c>
      <c r="J80" s="22">
        <f>C170</f>
        <v>1.3430029546065001</v>
      </c>
      <c r="K80" s="24">
        <f>((H80+I80)/J80)*D80</f>
        <v>850.70550000000014</v>
      </c>
      <c r="L80" s="35">
        <f t="shared" si="35"/>
        <v>0.17570295025667382</v>
      </c>
      <c r="M80" s="28">
        <f t="shared" si="36"/>
        <v>127.13369998514247</v>
      </c>
      <c r="N80" s="29">
        <v>2.73</v>
      </c>
      <c r="O80" s="30">
        <f t="shared" si="38"/>
        <v>0.90090000000000003</v>
      </c>
      <c r="P80" s="33">
        <f t="shared" si="37"/>
        <v>-18.5791</v>
      </c>
    </row>
    <row r="81" spans="1:16" x14ac:dyDescent="0.2">
      <c r="A81" s="20" t="s">
        <v>155</v>
      </c>
      <c r="B81" s="20" t="s">
        <v>156</v>
      </c>
      <c r="C81" s="21">
        <v>44771</v>
      </c>
      <c r="D81" s="20">
        <v>1000</v>
      </c>
      <c r="E81" s="22">
        <v>1.3079000000000001</v>
      </c>
      <c r="F81" s="26">
        <v>0.24</v>
      </c>
      <c r="G81" s="24">
        <f>(F81*D81)/E81</f>
        <v>183.50026760455691</v>
      </c>
      <c r="H81" s="43">
        <f>'[1]auto data'!P9</f>
        <v>0.125</v>
      </c>
      <c r="I81" s="20">
        <v>0</v>
      </c>
      <c r="J81" s="22">
        <f>C170</f>
        <v>1.3430029546065001</v>
      </c>
      <c r="K81" s="24">
        <f>((H81+I81)/J81)*D81</f>
        <v>93.075000000000003</v>
      </c>
      <c r="L81" s="27">
        <f t="shared" si="35"/>
        <v>-0.49278003124999997</v>
      </c>
      <c r="M81" s="28">
        <f t="shared" si="36"/>
        <v>-90.425267604556907</v>
      </c>
      <c r="N81" s="29">
        <v>0.24</v>
      </c>
      <c r="O81" s="30">
        <f t="shared" si="38"/>
        <v>7.9200000000000007E-2</v>
      </c>
      <c r="P81" s="33">
        <f t="shared" si="37"/>
        <v>-0.1608</v>
      </c>
    </row>
    <row r="82" spans="1:16" x14ac:dyDescent="0.2">
      <c r="A82" s="2" t="s">
        <v>157</v>
      </c>
      <c r="B82" s="3"/>
      <c r="C82" s="3"/>
      <c r="D82" s="3"/>
      <c r="E82" s="3"/>
      <c r="F82" s="4"/>
      <c r="G82" s="5"/>
      <c r="H82" s="6"/>
      <c r="I82" s="6"/>
      <c r="J82" s="6"/>
      <c r="K82" s="7"/>
      <c r="L82" s="8" t="s">
        <v>1</v>
      </c>
      <c r="M82" s="9">
        <f>SUM(K84:K97)</f>
        <v>1165.9243731949848</v>
      </c>
      <c r="N82" s="10"/>
      <c r="O82" s="11"/>
      <c r="P82" s="12">
        <f>M82/P175</f>
        <v>2.0486901728666036E-2</v>
      </c>
    </row>
    <row r="83" spans="1:16" x14ac:dyDescent="0.2">
      <c r="A83" s="13" t="s">
        <v>158</v>
      </c>
      <c r="B83" s="13" t="s">
        <v>3</v>
      </c>
      <c r="C83" s="14" t="s">
        <v>4</v>
      </c>
      <c r="D83" s="13" t="s">
        <v>5</v>
      </c>
      <c r="E83" s="15" t="s">
        <v>6</v>
      </c>
      <c r="F83" s="13" t="s">
        <v>7</v>
      </c>
      <c r="G83" s="13" t="s">
        <v>8</v>
      </c>
      <c r="H83" s="16" t="s">
        <v>9</v>
      </c>
      <c r="I83" s="13" t="s">
        <v>10</v>
      </c>
      <c r="J83" s="15" t="s">
        <v>11</v>
      </c>
      <c r="K83" s="13" t="s">
        <v>159</v>
      </c>
      <c r="L83" s="13" t="s">
        <v>13</v>
      </c>
      <c r="M83" s="52"/>
      <c r="N83" s="53"/>
      <c r="O83" s="54"/>
      <c r="P83" s="17" t="s">
        <v>160</v>
      </c>
    </row>
    <row r="84" spans="1:16" x14ac:dyDescent="0.2">
      <c r="A84" s="42" t="s">
        <v>161</v>
      </c>
      <c r="B84" s="20" t="s">
        <v>50</v>
      </c>
      <c r="C84" s="21">
        <v>44033</v>
      </c>
      <c r="D84" s="20">
        <v>1</v>
      </c>
      <c r="E84" s="22">
        <v>1.145</v>
      </c>
      <c r="F84" s="23">
        <v>-261</v>
      </c>
      <c r="G84" s="24">
        <f>(F84*D84)/E84</f>
        <v>-227.94759825327512</v>
      </c>
      <c r="H84" s="55">
        <v>-125</v>
      </c>
      <c r="I84" s="20">
        <v>0</v>
      </c>
      <c r="J84" s="22">
        <f>C169</f>
        <v>0.99641291351135908</v>
      </c>
      <c r="K84" s="24">
        <f>((H84-F84)/J84)*D84</f>
        <v>136.4896</v>
      </c>
      <c r="L84" s="35">
        <f>-(K84-G84)/G84</f>
        <v>1.5987762145593871</v>
      </c>
      <c r="M84" s="28"/>
      <c r="N84" s="42"/>
      <c r="O84" s="30"/>
      <c r="P84" s="33" t="s">
        <v>162</v>
      </c>
    </row>
    <row r="85" spans="1:16" x14ac:dyDescent="0.2">
      <c r="A85" s="42" t="s">
        <v>163</v>
      </c>
      <c r="B85" s="20" t="s">
        <v>19</v>
      </c>
      <c r="C85" s="21">
        <v>44946</v>
      </c>
      <c r="D85" s="20">
        <v>2</v>
      </c>
      <c r="E85" s="22">
        <v>1.2199</v>
      </c>
      <c r="F85" s="20">
        <v>-240</v>
      </c>
      <c r="G85" s="24">
        <f>(F85*D85)/E85</f>
        <v>-393.47487498975329</v>
      </c>
      <c r="H85" s="49">
        <v>-100</v>
      </c>
      <c r="I85" s="20">
        <v>0</v>
      </c>
      <c r="J85" s="22">
        <f>C169</f>
        <v>0.99641291351135908</v>
      </c>
      <c r="K85" s="24">
        <f>((H85-F85)/J85)*D85</f>
        <v>281.00799999999998</v>
      </c>
      <c r="L85" s="35">
        <f>-(K85)/G85</f>
        <v>0.71417012333333318</v>
      </c>
      <c r="M85" s="28"/>
      <c r="N85" s="42"/>
      <c r="O85" s="30"/>
      <c r="P85" s="33" t="s">
        <v>162</v>
      </c>
    </row>
    <row r="86" spans="1:16" x14ac:dyDescent="0.2">
      <c r="A86" s="42" t="s">
        <v>164</v>
      </c>
      <c r="B86" s="20" t="s">
        <v>139</v>
      </c>
      <c r="C86" s="21">
        <v>44946</v>
      </c>
      <c r="D86" s="20">
        <v>1</v>
      </c>
      <c r="E86" s="22">
        <v>1.2027000000000001</v>
      </c>
      <c r="F86" s="20">
        <v>-225</v>
      </c>
      <c r="G86" s="24">
        <f>(F86*D86)/E86</f>
        <v>-187.07907208780242</v>
      </c>
      <c r="H86" s="49">
        <v>-80</v>
      </c>
      <c r="I86" s="20">
        <v>0</v>
      </c>
      <c r="J86" s="22">
        <f>C169</f>
        <v>0.99641291351135908</v>
      </c>
      <c r="K86" s="24">
        <f t="shared" ref="K86:K88" si="39">((H86-F86)/J86)*D86</f>
        <v>145.52199999999999</v>
      </c>
      <c r="L86" s="35">
        <f t="shared" ref="L86:L87" si="40">-(K86)/G86</f>
        <v>0.77786359733333343</v>
      </c>
      <c r="M86" s="28"/>
      <c r="N86" s="42"/>
      <c r="O86" s="30"/>
      <c r="P86" s="33" t="s">
        <v>162</v>
      </c>
    </row>
    <row r="87" spans="1:16" x14ac:dyDescent="0.2">
      <c r="A87" s="42" t="s">
        <v>165</v>
      </c>
      <c r="B87" s="20" t="s">
        <v>39</v>
      </c>
      <c r="C87" s="21">
        <v>44610</v>
      </c>
      <c r="D87" s="20">
        <v>1</v>
      </c>
      <c r="E87" s="22">
        <v>1.2027000000000001</v>
      </c>
      <c r="F87" s="20">
        <v>-276</v>
      </c>
      <c r="G87" s="24">
        <f>(F87*D87)/E87</f>
        <v>-229.48366176103764</v>
      </c>
      <c r="H87" s="49">
        <v>-345</v>
      </c>
      <c r="I87" s="20">
        <v>0</v>
      </c>
      <c r="J87" s="22">
        <f>C169</f>
        <v>0.99641291351135908</v>
      </c>
      <c r="K87" s="24">
        <f t="shared" si="39"/>
        <v>-69.248400000000004</v>
      </c>
      <c r="L87" s="27">
        <f t="shared" si="40"/>
        <v>-0.30175743000000005</v>
      </c>
      <c r="M87" s="28"/>
      <c r="N87" s="42"/>
      <c r="O87" s="30"/>
      <c r="P87" s="33" t="s">
        <v>162</v>
      </c>
    </row>
    <row r="88" spans="1:16" x14ac:dyDescent="0.2">
      <c r="A88" s="42" t="s">
        <v>166</v>
      </c>
      <c r="B88" s="20" t="s">
        <v>167</v>
      </c>
      <c r="C88" s="21">
        <v>44424</v>
      </c>
      <c r="D88" s="20">
        <v>2</v>
      </c>
      <c r="E88" s="22">
        <v>1.1735</v>
      </c>
      <c r="F88" s="20">
        <v>492</v>
      </c>
      <c r="G88" s="24">
        <f>(F88*D88)/E88</f>
        <v>838.51725607158073</v>
      </c>
      <c r="H88" s="49">
        <v>630</v>
      </c>
      <c r="I88" s="20">
        <v>0</v>
      </c>
      <c r="J88" s="22">
        <f>C169</f>
        <v>0.99641291351135908</v>
      </c>
      <c r="K88" s="24">
        <f t="shared" si="39"/>
        <v>276.99360000000001</v>
      </c>
      <c r="L88" s="35">
        <f>(K88)/G88</f>
        <v>0.33033738780487809</v>
      </c>
      <c r="M88" s="28"/>
      <c r="N88" s="42"/>
      <c r="O88" s="30"/>
      <c r="P88" s="33" t="s">
        <v>162</v>
      </c>
    </row>
    <row r="89" spans="1:16" x14ac:dyDescent="0.2">
      <c r="A89" s="42" t="s">
        <v>168</v>
      </c>
      <c r="B89" s="20" t="s">
        <v>69</v>
      </c>
      <c r="C89" s="21">
        <v>44396</v>
      </c>
      <c r="D89" s="20">
        <v>33</v>
      </c>
      <c r="E89" s="22">
        <v>1.5044</v>
      </c>
      <c r="F89" s="20">
        <v>4</v>
      </c>
      <c r="G89" s="24">
        <v>0</v>
      </c>
      <c r="H89" s="50">
        <v>2</v>
      </c>
      <c r="I89" s="20">
        <v>0</v>
      </c>
      <c r="J89" s="22">
        <f>C170</f>
        <v>1.3430029546065001</v>
      </c>
      <c r="K89" s="24">
        <f>H89</f>
        <v>2</v>
      </c>
      <c r="L89" s="35" t="s">
        <v>70</v>
      </c>
      <c r="M89" s="28"/>
      <c r="N89" s="56"/>
      <c r="O89" s="30"/>
      <c r="P89" s="31"/>
    </row>
    <row r="90" spans="1:16" x14ac:dyDescent="0.2">
      <c r="A90" s="42" t="s">
        <v>169</v>
      </c>
      <c r="B90" s="20" t="s">
        <v>170</v>
      </c>
      <c r="C90" s="21">
        <v>44498</v>
      </c>
      <c r="D90" s="20">
        <v>50</v>
      </c>
      <c r="E90" s="22">
        <v>1.1565000000000001</v>
      </c>
      <c r="F90" s="20">
        <v>2.42</v>
      </c>
      <c r="G90" s="24">
        <f>(F90*D90)/E90</f>
        <v>104.62602680501513</v>
      </c>
      <c r="H90" s="50">
        <v>87</v>
      </c>
      <c r="I90" s="20">
        <v>0</v>
      </c>
      <c r="J90" s="22">
        <f>C169</f>
        <v>0.99641291351135908</v>
      </c>
      <c r="K90" s="24">
        <f>H90/J90-G90</f>
        <v>-17.312826805015121</v>
      </c>
      <c r="L90" s="27">
        <f>K90/G90</f>
        <v>-0.16547342314049576</v>
      </c>
      <c r="M90" s="28"/>
      <c r="N90" s="42"/>
      <c r="O90" s="30"/>
      <c r="P90" s="31" t="s">
        <v>171</v>
      </c>
    </row>
    <row r="91" spans="1:16" x14ac:dyDescent="0.2">
      <c r="A91" s="42" t="s">
        <v>172</v>
      </c>
      <c r="B91" s="20" t="s">
        <v>173</v>
      </c>
      <c r="C91" s="21">
        <v>44498</v>
      </c>
      <c r="D91" s="20">
        <v>200</v>
      </c>
      <c r="E91" s="22">
        <v>1.1565000000000001</v>
      </c>
      <c r="F91" s="26">
        <v>3.6</v>
      </c>
      <c r="G91" s="24">
        <f>(F91*D91)/E91</f>
        <v>622.56809338521396</v>
      </c>
      <c r="H91" s="50">
        <v>134</v>
      </c>
      <c r="I91" s="20">
        <v>0</v>
      </c>
      <c r="J91" s="22">
        <f>C169</f>
        <v>0.99641291351135908</v>
      </c>
      <c r="K91" s="24">
        <f>H91/J91</f>
        <v>134.48240000000001</v>
      </c>
      <c r="L91" s="27">
        <f t="shared" ref="L91:L92" si="41">(K91-G91)/G91</f>
        <v>-0.78398764499999996</v>
      </c>
      <c r="M91" s="28"/>
      <c r="N91" s="42"/>
      <c r="O91" s="30"/>
      <c r="P91" s="31"/>
    </row>
    <row r="92" spans="1:16" x14ac:dyDescent="0.2">
      <c r="A92" s="42" t="s">
        <v>172</v>
      </c>
      <c r="B92" s="20" t="s">
        <v>174</v>
      </c>
      <c r="C92" s="21">
        <v>44509</v>
      </c>
      <c r="D92" s="20">
        <v>200</v>
      </c>
      <c r="E92" s="22">
        <v>1.1453</v>
      </c>
      <c r="F92" s="20">
        <v>1.94</v>
      </c>
      <c r="G92" s="24">
        <f>(F92*D92)/E92</f>
        <v>338.77586658517419</v>
      </c>
      <c r="H92" s="50">
        <v>15</v>
      </c>
      <c r="I92" s="20">
        <v>0</v>
      </c>
      <c r="J92" s="22">
        <f>C169</f>
        <v>0.99641291351135908</v>
      </c>
      <c r="K92" s="24">
        <f>H92/J92</f>
        <v>15.054</v>
      </c>
      <c r="L92" s="27">
        <f t="shared" si="41"/>
        <v>-0.95556354072164951</v>
      </c>
      <c r="M92" s="28"/>
      <c r="N92" s="42"/>
      <c r="O92" s="30"/>
      <c r="P92" s="31"/>
    </row>
    <row r="93" spans="1:16" x14ac:dyDescent="0.2">
      <c r="A93" s="42" t="s">
        <v>175</v>
      </c>
      <c r="B93" s="20" t="s">
        <v>19</v>
      </c>
      <c r="C93" s="21">
        <v>44735</v>
      </c>
      <c r="D93" s="20">
        <v>-2</v>
      </c>
      <c r="E93" s="22">
        <v>1.0559000000000001</v>
      </c>
      <c r="F93" s="50">
        <v>208</v>
      </c>
      <c r="G93" s="24">
        <f t="shared" ref="G93:G96" si="42">(F93*D93)/E93</f>
        <v>-393.97670233923662</v>
      </c>
      <c r="H93" s="49">
        <v>165</v>
      </c>
      <c r="I93" s="20">
        <v>0</v>
      </c>
      <c r="J93" s="22">
        <f>C169</f>
        <v>0.99641291351135908</v>
      </c>
      <c r="K93" s="24">
        <f>-(H93-F93)/J93*3</f>
        <v>129.46440000000001</v>
      </c>
      <c r="L93" s="35">
        <f>(K93+G93)/-G93+1</f>
        <v>0.32860927875000012</v>
      </c>
      <c r="M93" s="28"/>
      <c r="N93" s="42"/>
      <c r="O93" s="30"/>
      <c r="P93" s="33" t="s">
        <v>162</v>
      </c>
    </row>
    <row r="94" spans="1:16" x14ac:dyDescent="0.2">
      <c r="A94" s="42" t="s">
        <v>176</v>
      </c>
      <c r="B94" s="20" t="s">
        <v>177</v>
      </c>
      <c r="C94" s="21">
        <v>44735</v>
      </c>
      <c r="D94" s="20">
        <v>-2</v>
      </c>
      <c r="E94" s="22">
        <v>1.0559000000000001</v>
      </c>
      <c r="F94" s="50">
        <v>115</v>
      </c>
      <c r="G94" s="24">
        <f t="shared" si="42"/>
        <v>-217.82365754332795</v>
      </c>
      <c r="H94" s="49">
        <v>110</v>
      </c>
      <c r="I94" s="20">
        <v>0</v>
      </c>
      <c r="J94" s="22">
        <f>C169</f>
        <v>0.99641291351135908</v>
      </c>
      <c r="K94" s="24">
        <f>-(H94-F94)/J94*2</f>
        <v>10.036</v>
      </c>
      <c r="L94" s="35">
        <f t="shared" ref="L94:L96" si="43">(K94+G94)/-G94+1</f>
        <v>4.6073966956521772E-2</v>
      </c>
      <c r="M94" s="28"/>
      <c r="N94" s="42"/>
      <c r="O94" s="30"/>
      <c r="P94" s="33" t="s">
        <v>162</v>
      </c>
    </row>
    <row r="95" spans="1:16" x14ac:dyDescent="0.2">
      <c r="A95" s="42" t="s">
        <v>178</v>
      </c>
      <c r="B95" s="20" t="s">
        <v>139</v>
      </c>
      <c r="C95" s="21">
        <v>44735</v>
      </c>
      <c r="D95" s="20">
        <v>-1</v>
      </c>
      <c r="E95" s="22">
        <v>1.0559000000000001</v>
      </c>
      <c r="F95" s="50">
        <v>195</v>
      </c>
      <c r="G95" s="24">
        <f t="shared" si="42"/>
        <v>-184.67657922151719</v>
      </c>
      <c r="H95" s="49">
        <v>150</v>
      </c>
      <c r="I95" s="20">
        <v>0</v>
      </c>
      <c r="J95" s="22">
        <f>C169</f>
        <v>0.99641291351135908</v>
      </c>
      <c r="K95" s="24">
        <f t="shared" ref="K95" si="44">-(H95-F95)/J95</f>
        <v>45.161999999999999</v>
      </c>
      <c r="L95" s="35">
        <f t="shared" si="43"/>
        <v>0.24454644000000003</v>
      </c>
      <c r="M95" s="28"/>
      <c r="N95" s="42"/>
      <c r="O95" s="30"/>
      <c r="P95" s="33" t="s">
        <v>162</v>
      </c>
    </row>
    <row r="96" spans="1:16" x14ac:dyDescent="0.2">
      <c r="A96" s="42" t="s">
        <v>179</v>
      </c>
      <c r="B96" s="20" t="s">
        <v>50</v>
      </c>
      <c r="C96" s="21">
        <v>44735</v>
      </c>
      <c r="D96" s="20">
        <v>-1</v>
      </c>
      <c r="E96" s="22">
        <v>1.0559000000000001</v>
      </c>
      <c r="F96" s="50">
        <v>266</v>
      </c>
      <c r="G96" s="24">
        <f t="shared" si="42"/>
        <v>-251.91779524576191</v>
      </c>
      <c r="H96" s="49">
        <v>190</v>
      </c>
      <c r="I96" s="20">
        <v>0</v>
      </c>
      <c r="J96" s="22">
        <f>C169</f>
        <v>0.99641291351135908</v>
      </c>
      <c r="K96" s="24">
        <f>-(H96-F96)/J96</f>
        <v>76.273600000000002</v>
      </c>
      <c r="L96" s="35">
        <f t="shared" si="43"/>
        <v>0.30277178285714279</v>
      </c>
      <c r="M96" s="28"/>
      <c r="N96" s="42"/>
      <c r="O96" s="30"/>
      <c r="P96" s="33" t="s">
        <v>162</v>
      </c>
    </row>
    <row r="97" spans="1:16" x14ac:dyDescent="0.2">
      <c r="A97" s="42"/>
      <c r="B97" s="20"/>
      <c r="C97" s="21"/>
      <c r="D97" s="20"/>
      <c r="E97" s="22"/>
      <c r="F97" s="20"/>
      <c r="G97" s="24"/>
      <c r="H97" s="50"/>
      <c r="I97" s="20"/>
      <c r="J97" s="22"/>
      <c r="K97" s="24"/>
      <c r="L97" s="27"/>
      <c r="M97" s="28"/>
      <c r="N97" s="42"/>
      <c r="O97" s="30"/>
      <c r="P97" s="31"/>
    </row>
    <row r="98" spans="1:16" x14ac:dyDescent="0.2">
      <c r="A98" s="2" t="s">
        <v>180</v>
      </c>
      <c r="B98" s="3"/>
      <c r="C98" s="3"/>
      <c r="D98" s="3"/>
      <c r="E98" s="3"/>
      <c r="F98" s="4"/>
      <c r="G98" s="57"/>
      <c r="H98" s="58"/>
      <c r="I98" s="58"/>
      <c r="J98" s="58"/>
      <c r="K98" s="59"/>
      <c r="L98" s="8" t="s">
        <v>1</v>
      </c>
      <c r="M98" s="9">
        <f>SUM(K100:K100)</f>
        <v>1264.880431</v>
      </c>
      <c r="N98" s="10"/>
      <c r="O98" s="11"/>
      <c r="P98" s="12">
        <f>M98/E178</f>
        <v>1.3713385077269581E-2</v>
      </c>
    </row>
    <row r="99" spans="1:16" x14ac:dyDescent="0.2">
      <c r="A99" s="13" t="s">
        <v>2</v>
      </c>
      <c r="B99" s="13" t="s">
        <v>3</v>
      </c>
      <c r="C99" s="14" t="s">
        <v>4</v>
      </c>
      <c r="D99" s="13" t="s">
        <v>5</v>
      </c>
      <c r="E99" s="15" t="s">
        <v>6</v>
      </c>
      <c r="F99" s="13" t="s">
        <v>7</v>
      </c>
      <c r="G99" s="13" t="s">
        <v>8</v>
      </c>
      <c r="H99" s="16" t="s">
        <v>9</v>
      </c>
      <c r="I99" s="13" t="s">
        <v>10</v>
      </c>
      <c r="J99" s="15" t="s">
        <v>11</v>
      </c>
      <c r="K99" s="13" t="s">
        <v>12</v>
      </c>
      <c r="L99" s="13" t="s">
        <v>13</v>
      </c>
      <c r="M99" s="17" t="s">
        <v>14</v>
      </c>
      <c r="N99" s="18"/>
      <c r="O99" s="19"/>
      <c r="P99" s="17"/>
    </row>
    <row r="100" spans="1:16" x14ac:dyDescent="0.2">
      <c r="A100" s="20" t="s">
        <v>181</v>
      </c>
      <c r="B100" s="20" t="s">
        <v>182</v>
      </c>
      <c r="C100" s="21">
        <v>44670</v>
      </c>
      <c r="D100" s="20">
        <v>9500</v>
      </c>
      <c r="E100" s="22">
        <v>1</v>
      </c>
      <c r="F100" s="26">
        <v>0.38</v>
      </c>
      <c r="G100" s="24">
        <f>((F100*D100)/E100)-110</f>
        <v>3500</v>
      </c>
      <c r="H100" s="60">
        <v>0.1217</v>
      </c>
      <c r="I100" s="61">
        <f>107.78+41.35*19</f>
        <v>893.43</v>
      </c>
      <c r="J100" s="22">
        <v>1</v>
      </c>
      <c r="K100" s="24">
        <f>((H100)/J100)*(D100+I100)</f>
        <v>1264.880431</v>
      </c>
      <c r="L100" s="27">
        <f t="shared" ref="L100" si="45">(K100-G100)/G100</f>
        <v>-0.63860559114285709</v>
      </c>
      <c r="M100" s="28">
        <f>K100-G100</f>
        <v>-2235.119569</v>
      </c>
      <c r="N100" s="42"/>
      <c r="O100" s="30"/>
      <c r="P100" s="33"/>
    </row>
    <row r="101" spans="1:16" x14ac:dyDescent="0.2">
      <c r="A101" s="20" t="s">
        <v>183</v>
      </c>
      <c r="B101" s="20" t="s">
        <v>184</v>
      </c>
      <c r="C101" s="21">
        <v>44807</v>
      </c>
      <c r="D101" s="20">
        <v>50</v>
      </c>
      <c r="E101" s="22">
        <v>1</v>
      </c>
      <c r="F101" s="26">
        <v>7.25</v>
      </c>
      <c r="G101" s="24">
        <f>((F101*D101)/E101)</f>
        <v>362.5</v>
      </c>
      <c r="H101" s="60">
        <v>7.27</v>
      </c>
      <c r="I101" s="61">
        <f>0.12*9</f>
        <v>1.08</v>
      </c>
      <c r="J101" s="22">
        <v>1</v>
      </c>
      <c r="K101" s="24">
        <f>((H101)/J101)*(D101+I101)</f>
        <v>371.35159999999996</v>
      </c>
      <c r="L101" s="35">
        <f>(K101-G101)/G101</f>
        <v>2.4418206896551619E-2</v>
      </c>
      <c r="M101" s="28">
        <f>K101-G101</f>
        <v>8.8515999999999622</v>
      </c>
      <c r="N101" s="42"/>
      <c r="O101" s="30"/>
      <c r="P101" s="33"/>
    </row>
    <row r="102" spans="1:16" x14ac:dyDescent="0.2">
      <c r="A102" s="2" t="s">
        <v>185</v>
      </c>
      <c r="B102" s="3"/>
      <c r="C102" s="3"/>
      <c r="D102" s="3"/>
      <c r="E102" s="3"/>
      <c r="F102" s="4"/>
      <c r="G102" s="5"/>
      <c r="H102" s="6"/>
      <c r="I102" s="6"/>
      <c r="J102" s="6"/>
      <c r="K102" s="7"/>
      <c r="L102" s="8" t="s">
        <v>1</v>
      </c>
      <c r="M102" s="9">
        <f>SUM(K103:K142)</f>
        <v>8907.9175496430271</v>
      </c>
      <c r="N102" s="10"/>
      <c r="O102" s="11"/>
      <c r="P102" s="12">
        <f>M102/P175</f>
        <v>0.15652441585598137</v>
      </c>
    </row>
    <row r="103" spans="1:16" x14ac:dyDescent="0.2">
      <c r="A103" s="62" t="s">
        <v>186</v>
      </c>
      <c r="B103" s="62" t="s">
        <v>50</v>
      </c>
      <c r="C103" s="63">
        <v>43187</v>
      </c>
      <c r="D103" s="20">
        <v>22</v>
      </c>
      <c r="E103" s="22">
        <v>1.24</v>
      </c>
      <c r="F103" s="64">
        <v>12.22</v>
      </c>
      <c r="G103" s="24">
        <f t="shared" si="0"/>
        <v>216.80645161290326</v>
      </c>
      <c r="H103" s="47">
        <f>'[1]auto data'!S6</f>
        <v>8.9600000000000009</v>
      </c>
      <c r="I103" s="26">
        <v>0</v>
      </c>
      <c r="J103" s="22">
        <f>C169</f>
        <v>0.99641291351135908</v>
      </c>
      <c r="K103" s="24">
        <f t="shared" ref="K103:K128" si="46">((H103+I103)/J103)*D103</f>
        <v>197.82963200000003</v>
      </c>
      <c r="L103" s="35">
        <f t="shared" ref="L103:L111" si="47">(K103-G103)/G103+1</f>
        <v>0.91247114893617021</v>
      </c>
      <c r="M103" s="65"/>
      <c r="N103" s="66"/>
      <c r="O103" s="67" t="s">
        <v>187</v>
      </c>
      <c r="P103" s="68">
        <v>3</v>
      </c>
    </row>
    <row r="104" spans="1:16" x14ac:dyDescent="0.2">
      <c r="A104" s="62" t="s">
        <v>188</v>
      </c>
      <c r="B104" s="20" t="s">
        <v>50</v>
      </c>
      <c r="C104" s="21">
        <v>44747</v>
      </c>
      <c r="D104" s="20">
        <v>5</v>
      </c>
      <c r="E104" s="22">
        <v>1.0264</v>
      </c>
      <c r="F104" s="23">
        <v>6.63</v>
      </c>
      <c r="G104" s="24">
        <f t="shared" ref="G104:G125" si="48">(F104*D104)/E104</f>
        <v>32.297349961028836</v>
      </c>
      <c r="H104" s="36">
        <f>H103</f>
        <v>8.9600000000000009</v>
      </c>
      <c r="I104" s="26">
        <v>0</v>
      </c>
      <c r="J104" s="22">
        <f>C169</f>
        <v>0.99641291351135908</v>
      </c>
      <c r="K104" s="24">
        <f t="shared" si="46"/>
        <v>44.961280000000002</v>
      </c>
      <c r="L104" s="35">
        <f t="shared" ref="L104" si="49">(K104-G104)/G104</f>
        <v>0.39210430745098057</v>
      </c>
      <c r="M104" s="28"/>
      <c r="N104" s="66"/>
      <c r="O104" s="67" t="s">
        <v>187</v>
      </c>
      <c r="P104" s="68" t="s">
        <v>189</v>
      </c>
    </row>
    <row r="105" spans="1:16" x14ac:dyDescent="0.2">
      <c r="A105" s="20" t="s">
        <v>190</v>
      </c>
      <c r="B105" s="20" t="s">
        <v>191</v>
      </c>
      <c r="C105" s="21">
        <v>43102</v>
      </c>
      <c r="D105" s="69">
        <v>8</v>
      </c>
      <c r="E105" s="70">
        <v>1.24</v>
      </c>
      <c r="F105" s="26">
        <v>150</v>
      </c>
      <c r="G105" s="24">
        <f t="shared" si="48"/>
        <v>967.74193548387098</v>
      </c>
      <c r="H105" s="47">
        <f>'[1]auto data'!S8</f>
        <v>126.95</v>
      </c>
      <c r="I105" s="71">
        <f>[1]Dividend!P25</f>
        <v>4.1300000000000008</v>
      </c>
      <c r="J105" s="70">
        <f>C169</f>
        <v>0.99641291351135908</v>
      </c>
      <c r="K105" s="72">
        <f t="shared" si="46"/>
        <v>1052.4151040000002</v>
      </c>
      <c r="L105" s="35">
        <f t="shared" si="47"/>
        <v>1.0874956074666668</v>
      </c>
      <c r="M105" s="65"/>
      <c r="N105" s="66"/>
      <c r="O105" s="67" t="s">
        <v>187</v>
      </c>
      <c r="P105" s="68">
        <v>5</v>
      </c>
    </row>
    <row r="106" spans="1:16" x14ac:dyDescent="0.2">
      <c r="A106" s="20" t="s">
        <v>192</v>
      </c>
      <c r="B106" s="20" t="s">
        <v>19</v>
      </c>
      <c r="C106" s="21">
        <v>43102</v>
      </c>
      <c r="D106" s="69">
        <v>50</v>
      </c>
      <c r="E106" s="70">
        <v>1.24</v>
      </c>
      <c r="F106" s="20">
        <v>5.03</v>
      </c>
      <c r="G106" s="24">
        <f t="shared" si="48"/>
        <v>202.82258064516128</v>
      </c>
      <c r="H106" s="47">
        <f>'[1]auto data'!S9</f>
        <v>5.0599999999999996</v>
      </c>
      <c r="I106" s="71">
        <f>[1]Dividend!P11</f>
        <v>6.7000000000000004E-2</v>
      </c>
      <c r="J106" s="70">
        <f>C169</f>
        <v>0.99641291351135908</v>
      </c>
      <c r="K106" s="73">
        <f t="shared" si="46"/>
        <v>257.27285999999998</v>
      </c>
      <c r="L106" s="35">
        <f t="shared" si="47"/>
        <v>1.2684626099403578</v>
      </c>
      <c r="M106" s="65"/>
      <c r="N106" s="66"/>
      <c r="O106" s="67" t="s">
        <v>187</v>
      </c>
      <c r="P106" s="68">
        <v>6</v>
      </c>
    </row>
    <row r="107" spans="1:16" x14ac:dyDescent="0.2">
      <c r="A107" s="20" t="s">
        <v>193</v>
      </c>
      <c r="B107" s="20" t="s">
        <v>19</v>
      </c>
      <c r="C107" s="21">
        <v>44726</v>
      </c>
      <c r="D107" s="20">
        <v>5</v>
      </c>
      <c r="E107" s="22">
        <v>1.0409999999999999</v>
      </c>
      <c r="F107" s="23">
        <v>6.0750000000000002</v>
      </c>
      <c r="G107" s="24">
        <f t="shared" si="48"/>
        <v>29.178674351585016</v>
      </c>
      <c r="H107" s="25">
        <f>H106</f>
        <v>5.0599999999999996</v>
      </c>
      <c r="I107" s="26">
        <v>0</v>
      </c>
      <c r="J107" s="22">
        <f>C169</f>
        <v>0.99641291351135908</v>
      </c>
      <c r="K107" s="24">
        <f>((H107+I107)/J107)*D107</f>
        <v>25.391079999999995</v>
      </c>
      <c r="L107" s="35">
        <f t="shared" ref="L107:L109" si="50">(K107-G107)/G107</f>
        <v>-0.12980693728395085</v>
      </c>
      <c r="M107" s="28"/>
      <c r="N107" s="66"/>
      <c r="O107" s="67" t="s">
        <v>187</v>
      </c>
      <c r="P107" s="68" t="s">
        <v>194</v>
      </c>
    </row>
    <row r="108" spans="1:16" x14ac:dyDescent="0.2">
      <c r="A108" s="20" t="s">
        <v>195</v>
      </c>
      <c r="B108" s="20" t="s">
        <v>19</v>
      </c>
      <c r="C108" s="21">
        <v>44735</v>
      </c>
      <c r="D108" s="20">
        <v>7</v>
      </c>
      <c r="E108" s="22">
        <v>1.0550999999999999</v>
      </c>
      <c r="F108" s="23">
        <v>5.98</v>
      </c>
      <c r="G108" s="24">
        <f t="shared" si="48"/>
        <v>39.673964553122929</v>
      </c>
      <c r="H108" s="25">
        <f>H107</f>
        <v>5.0599999999999996</v>
      </c>
      <c r="I108" s="26">
        <v>0</v>
      </c>
      <c r="J108" s="22">
        <f>C169</f>
        <v>0.99641291351135908</v>
      </c>
      <c r="K108" s="24">
        <f>((H108+I108)/J108)*D108</f>
        <v>35.547511999999998</v>
      </c>
      <c r="L108" s="35">
        <f t="shared" si="50"/>
        <v>-0.1040090800000001</v>
      </c>
      <c r="M108" s="28"/>
      <c r="N108" s="66"/>
      <c r="O108" s="67" t="s">
        <v>187</v>
      </c>
      <c r="P108" s="68" t="s">
        <v>196</v>
      </c>
    </row>
    <row r="109" spans="1:16" x14ac:dyDescent="0.2">
      <c r="A109" s="20" t="s">
        <v>197</v>
      </c>
      <c r="B109" s="20" t="s">
        <v>19</v>
      </c>
      <c r="C109" s="21">
        <v>44806</v>
      </c>
      <c r="D109" s="20">
        <v>10</v>
      </c>
      <c r="E109" s="22">
        <v>0.99550000000000005</v>
      </c>
      <c r="F109" s="23">
        <v>5.4</v>
      </c>
      <c r="G109" s="24">
        <f t="shared" si="48"/>
        <v>54.244098442993469</v>
      </c>
      <c r="H109" s="25">
        <f>H106</f>
        <v>5.0599999999999996</v>
      </c>
      <c r="I109" s="26">
        <v>0</v>
      </c>
      <c r="J109" s="22">
        <f>C169</f>
        <v>0.99641291351135908</v>
      </c>
      <c r="K109" s="24">
        <f t="shared" ref="K109" si="51">((H109+I109)/J109)*D109</f>
        <v>50.78215999999999</v>
      </c>
      <c r="L109" s="35">
        <f t="shared" si="50"/>
        <v>-6.3821476296296434E-2</v>
      </c>
      <c r="M109" s="28"/>
      <c r="N109" s="66"/>
      <c r="O109" s="67" t="s">
        <v>187</v>
      </c>
      <c r="P109" s="68" t="s">
        <v>198</v>
      </c>
    </row>
    <row r="110" spans="1:16" x14ac:dyDescent="0.2">
      <c r="A110" s="20" t="s">
        <v>199</v>
      </c>
      <c r="B110" s="20" t="s">
        <v>39</v>
      </c>
      <c r="C110" s="21">
        <v>43683</v>
      </c>
      <c r="D110" s="69">
        <v>33</v>
      </c>
      <c r="E110" s="70">
        <v>1.49</v>
      </c>
      <c r="F110" s="20">
        <v>4.6399999999999997</v>
      </c>
      <c r="G110" s="24">
        <f t="shared" si="48"/>
        <v>102.76510067114093</v>
      </c>
      <c r="H110" s="47">
        <f>'[1]auto data'!S10</f>
        <v>4.71</v>
      </c>
      <c r="I110" s="71">
        <f>[1]Dividend!P45</f>
        <v>4.9000000000000009E-2</v>
      </c>
      <c r="J110" s="70">
        <f>C170</f>
        <v>1.3430029546065001</v>
      </c>
      <c r="K110" s="73">
        <f t="shared" si="46"/>
        <v>116.9371962</v>
      </c>
      <c r="L110" s="35">
        <f t="shared" si="47"/>
        <v>1.137907669396552</v>
      </c>
      <c r="M110" s="65"/>
      <c r="N110" s="66"/>
      <c r="O110" s="67" t="s">
        <v>187</v>
      </c>
      <c r="P110" s="68">
        <v>7</v>
      </c>
    </row>
    <row r="111" spans="1:16" x14ac:dyDescent="0.2">
      <c r="A111" s="20" t="s">
        <v>200</v>
      </c>
      <c r="B111" s="20" t="s">
        <v>201</v>
      </c>
      <c r="C111" s="21">
        <v>43994</v>
      </c>
      <c r="D111" s="20">
        <v>45</v>
      </c>
      <c r="E111" s="22">
        <v>1.1255999999999999</v>
      </c>
      <c r="F111" s="23">
        <v>5</v>
      </c>
      <c r="G111" s="24">
        <f t="shared" si="48"/>
        <v>199.89339019189768</v>
      </c>
      <c r="H111" s="41">
        <f>'[1]auto data'!S11</f>
        <v>3.99</v>
      </c>
      <c r="I111" s="20">
        <v>0</v>
      </c>
      <c r="J111" s="22">
        <f>C169</f>
        <v>0.99641291351135908</v>
      </c>
      <c r="K111" s="24">
        <f t="shared" si="46"/>
        <v>180.19638000000003</v>
      </c>
      <c r="L111" s="35">
        <f t="shared" si="47"/>
        <v>0.90146242368000007</v>
      </c>
      <c r="M111" s="65"/>
      <c r="N111" s="66"/>
      <c r="O111" s="30" t="s">
        <v>187</v>
      </c>
      <c r="P111" s="68">
        <v>8</v>
      </c>
    </row>
    <row r="112" spans="1:16" x14ac:dyDescent="0.2">
      <c r="A112" s="20" t="s">
        <v>202</v>
      </c>
      <c r="B112" s="20" t="s">
        <v>203</v>
      </c>
      <c r="C112" s="21">
        <v>44077</v>
      </c>
      <c r="D112" s="20">
        <v>350</v>
      </c>
      <c r="E112" s="22">
        <v>1.55</v>
      </c>
      <c r="F112" s="23">
        <v>0.48499999999999999</v>
      </c>
      <c r="G112" s="24">
        <f t="shared" si="48"/>
        <v>109.51612903225806</v>
      </c>
      <c r="H112" s="25">
        <f>'[1]auto data'!S12</f>
        <v>0.18</v>
      </c>
      <c r="I112" s="20">
        <v>0</v>
      </c>
      <c r="J112" s="22">
        <f>C170</f>
        <v>1.3430029546065001</v>
      </c>
      <c r="K112" s="24">
        <f t="shared" si="46"/>
        <v>46.909800000000004</v>
      </c>
      <c r="L112" s="35">
        <f>(K112-G112)/G112+1</f>
        <v>0.42833690721649487</v>
      </c>
      <c r="M112" s="65"/>
      <c r="N112" s="66"/>
      <c r="O112" s="74" t="s">
        <v>204</v>
      </c>
      <c r="P112" s="68">
        <v>1</v>
      </c>
    </row>
    <row r="113" spans="1:16" x14ac:dyDescent="0.2">
      <c r="A113" s="20" t="s">
        <v>205</v>
      </c>
      <c r="B113" s="20" t="s">
        <v>50</v>
      </c>
      <c r="C113" s="21">
        <v>44033</v>
      </c>
      <c r="D113" s="20">
        <v>39</v>
      </c>
      <c r="E113" s="22">
        <v>1.1000000000000001</v>
      </c>
      <c r="F113" s="23">
        <v>8.92</v>
      </c>
      <c r="G113" s="24">
        <f t="shared" si="48"/>
        <v>316.25454545454545</v>
      </c>
      <c r="H113" s="25">
        <f>H103</f>
        <v>8.9600000000000009</v>
      </c>
      <c r="I113" s="37">
        <v>0</v>
      </c>
      <c r="J113" s="20">
        <v>1.2079</v>
      </c>
      <c r="K113" s="24">
        <f t="shared" si="46"/>
        <v>289.29547147942714</v>
      </c>
      <c r="L113" s="35">
        <f t="shared" ref="L113:L128" si="52">(K113-G113)/G113</f>
        <v>-8.5244858493245215E-2</v>
      </c>
      <c r="M113" s="65"/>
      <c r="N113" s="66"/>
      <c r="O113" s="30" t="s">
        <v>206</v>
      </c>
      <c r="P113" s="75">
        <v>8</v>
      </c>
    </row>
    <row r="114" spans="1:16" x14ac:dyDescent="0.2">
      <c r="A114" s="20" t="s">
        <v>207</v>
      </c>
      <c r="B114" s="20" t="s">
        <v>208</v>
      </c>
      <c r="C114" s="21">
        <v>43102</v>
      </c>
      <c r="D114" s="20">
        <v>275</v>
      </c>
      <c r="E114" s="22">
        <v>1.51</v>
      </c>
      <c r="F114" s="23">
        <v>2.1800000000000002</v>
      </c>
      <c r="G114" s="24">
        <f t="shared" si="48"/>
        <v>397.01986754966885</v>
      </c>
      <c r="H114" s="47">
        <f>'[1]auto data'!S14</f>
        <v>4.13</v>
      </c>
      <c r="I114" s="20">
        <v>0</v>
      </c>
      <c r="J114" s="22">
        <f>C170</f>
        <v>1.3430029546065001</v>
      </c>
      <c r="K114" s="24">
        <f t="shared" si="46"/>
        <v>845.67944999999997</v>
      </c>
      <c r="L114" s="35">
        <f t="shared" si="52"/>
        <v>1.1300683394495414</v>
      </c>
      <c r="M114" s="65"/>
      <c r="N114" s="66"/>
      <c r="O114" s="30" t="s">
        <v>209</v>
      </c>
      <c r="P114" s="68">
        <v>1</v>
      </c>
    </row>
    <row r="115" spans="1:16" x14ac:dyDescent="0.2">
      <c r="A115" s="20" t="s">
        <v>210</v>
      </c>
      <c r="B115" s="20" t="s">
        <v>211</v>
      </c>
      <c r="C115" s="21">
        <v>43822</v>
      </c>
      <c r="D115" s="20">
        <v>190</v>
      </c>
      <c r="E115" s="22">
        <v>1.51</v>
      </c>
      <c r="F115" s="23">
        <v>1.18</v>
      </c>
      <c r="G115" s="24">
        <f t="shared" si="48"/>
        <v>148.47682119205297</v>
      </c>
      <c r="H115" s="47">
        <f>'[1]auto data'!T15</f>
        <v>2.9248079505774913</v>
      </c>
      <c r="I115" s="20">
        <v>0</v>
      </c>
      <c r="J115" s="22">
        <f>C170</f>
        <v>1.3430029546065001</v>
      </c>
      <c r="K115" s="24">
        <f t="shared" si="46"/>
        <v>413.78428000000008</v>
      </c>
      <c r="L115" s="35">
        <f t="shared" si="52"/>
        <v>1.7868611186440686</v>
      </c>
      <c r="M115" s="65"/>
      <c r="N115" s="66"/>
      <c r="O115" s="30" t="s">
        <v>209</v>
      </c>
      <c r="P115" s="68">
        <v>2</v>
      </c>
    </row>
    <row r="116" spans="1:16" x14ac:dyDescent="0.2">
      <c r="A116" s="20" t="s">
        <v>212</v>
      </c>
      <c r="B116" s="20" t="s">
        <v>141</v>
      </c>
      <c r="C116" s="21">
        <v>44550</v>
      </c>
      <c r="D116" s="20">
        <v>26</v>
      </c>
      <c r="E116" s="22">
        <v>1.3149999999999999</v>
      </c>
      <c r="F116" s="23">
        <v>4.2699999999999996</v>
      </c>
      <c r="G116" s="24">
        <f t="shared" si="48"/>
        <v>84.42585551330798</v>
      </c>
      <c r="H116" s="47">
        <f>H115</f>
        <v>2.9248079505774913</v>
      </c>
      <c r="I116" s="20">
        <v>0</v>
      </c>
      <c r="J116" s="22">
        <f>C170</f>
        <v>1.3430029546065001</v>
      </c>
      <c r="K116" s="24">
        <f t="shared" si="46"/>
        <v>56.623112000000006</v>
      </c>
      <c r="L116" s="35">
        <f t="shared" si="52"/>
        <v>-0.32931550819672117</v>
      </c>
      <c r="M116" s="28"/>
      <c r="N116" s="29"/>
      <c r="O116" s="30" t="s">
        <v>209</v>
      </c>
      <c r="P116" s="68" t="s">
        <v>213</v>
      </c>
    </row>
    <row r="117" spans="1:16" x14ac:dyDescent="0.2">
      <c r="A117" s="20" t="s">
        <v>214</v>
      </c>
      <c r="B117" s="20" t="s">
        <v>141</v>
      </c>
      <c r="C117" s="21">
        <v>44699</v>
      </c>
      <c r="D117" s="20">
        <v>7</v>
      </c>
      <c r="E117" s="22">
        <v>1.3472999999999999</v>
      </c>
      <c r="F117" s="23">
        <v>3.58</v>
      </c>
      <c r="G117" s="24">
        <f t="shared" si="48"/>
        <v>18.600163289542049</v>
      </c>
      <c r="H117" s="47">
        <v>3.76</v>
      </c>
      <c r="I117" s="20">
        <v>0</v>
      </c>
      <c r="J117" s="22">
        <f>C170</f>
        <v>1.3430029546065001</v>
      </c>
      <c r="K117" s="24">
        <f>((H117+I117)/J117)*D117</f>
        <v>19.597871999999999</v>
      </c>
      <c r="L117" s="35">
        <f>(K117-G117)/G117</f>
        <v>5.3639782346368528E-2</v>
      </c>
      <c r="M117" s="28"/>
      <c r="N117" s="29"/>
      <c r="O117" s="30" t="s">
        <v>209</v>
      </c>
      <c r="P117" s="68" t="s">
        <v>215</v>
      </c>
    </row>
    <row r="118" spans="1:16" x14ac:dyDescent="0.2">
      <c r="A118" s="20" t="s">
        <v>216</v>
      </c>
      <c r="B118" s="20" t="s">
        <v>217</v>
      </c>
      <c r="C118" s="21">
        <v>43374</v>
      </c>
      <c r="D118" s="20">
        <v>700</v>
      </c>
      <c r="E118" s="22">
        <v>1.1499999999999999</v>
      </c>
      <c r="F118" s="23">
        <v>0.66</v>
      </c>
      <c r="G118" s="24">
        <f t="shared" si="48"/>
        <v>401.73913043478262</v>
      </c>
      <c r="H118" s="47">
        <f>'[1]auto data'!S16</f>
        <v>1.24</v>
      </c>
      <c r="I118" s="20">
        <v>0</v>
      </c>
      <c r="J118" s="20">
        <v>1.2088000000000001</v>
      </c>
      <c r="K118" s="24">
        <f t="shared" si="46"/>
        <v>718.06750496360019</v>
      </c>
      <c r="L118" s="35">
        <f t="shared" si="52"/>
        <v>0.78739746906523844</v>
      </c>
      <c r="M118" s="65"/>
      <c r="N118" s="66"/>
      <c r="O118" s="30" t="s">
        <v>209</v>
      </c>
      <c r="P118" s="68">
        <v>3</v>
      </c>
    </row>
    <row r="119" spans="1:16" x14ac:dyDescent="0.2">
      <c r="A119" s="20" t="s">
        <v>218</v>
      </c>
      <c r="B119" s="20" t="s">
        <v>217</v>
      </c>
      <c r="C119" s="21">
        <v>44586</v>
      </c>
      <c r="D119" s="20">
        <v>170</v>
      </c>
      <c r="E119" s="22">
        <v>1.1324000000000001</v>
      </c>
      <c r="F119" s="23">
        <v>1.1000000000000001</v>
      </c>
      <c r="G119" s="24">
        <f t="shared" si="48"/>
        <v>165.13599434828683</v>
      </c>
      <c r="H119" s="47">
        <f>'[1]auto data'!S16</f>
        <v>1.24</v>
      </c>
      <c r="I119" s="20">
        <v>0</v>
      </c>
      <c r="J119" s="22">
        <f>C169</f>
        <v>0.99641291351135908</v>
      </c>
      <c r="K119" s="24">
        <f t="shared" si="46"/>
        <v>211.55888000000002</v>
      </c>
      <c r="L119" s="35">
        <f t="shared" si="52"/>
        <v>0.28111912145454554</v>
      </c>
      <c r="M119" s="28"/>
      <c r="N119" s="29"/>
      <c r="O119" s="30" t="s">
        <v>209</v>
      </c>
      <c r="P119" s="76" t="s">
        <v>189</v>
      </c>
    </row>
    <row r="120" spans="1:16" x14ac:dyDescent="0.2">
      <c r="A120" s="20" t="s">
        <v>219</v>
      </c>
      <c r="B120" s="20" t="s">
        <v>220</v>
      </c>
      <c r="C120" s="21">
        <v>43854</v>
      </c>
      <c r="D120" s="20">
        <v>50</v>
      </c>
      <c r="E120" s="22">
        <v>1.46</v>
      </c>
      <c r="F120" s="20">
        <v>3.71</v>
      </c>
      <c r="G120" s="24">
        <f t="shared" si="48"/>
        <v>127.05479452054794</v>
      </c>
      <c r="H120" s="47">
        <f>'[1]auto data'!S17</f>
        <v>10.37</v>
      </c>
      <c r="I120" s="20">
        <v>0</v>
      </c>
      <c r="J120" s="22">
        <f>C170</f>
        <v>1.3430029546065001</v>
      </c>
      <c r="K120" s="24">
        <f t="shared" si="46"/>
        <v>386.07509999999996</v>
      </c>
      <c r="L120" s="35">
        <f t="shared" si="52"/>
        <v>2.0386503827493261</v>
      </c>
      <c r="M120" s="65"/>
      <c r="N120" s="66"/>
      <c r="O120" s="30" t="s">
        <v>221</v>
      </c>
      <c r="P120" s="75">
        <v>2</v>
      </c>
    </row>
    <row r="121" spans="1:16" x14ac:dyDescent="0.2">
      <c r="A121" s="20" t="s">
        <v>222</v>
      </c>
      <c r="B121" s="20" t="s">
        <v>177</v>
      </c>
      <c r="C121" s="21">
        <v>44229</v>
      </c>
      <c r="D121" s="20">
        <v>75</v>
      </c>
      <c r="E121" s="22">
        <v>1.2022999999999999</v>
      </c>
      <c r="F121" s="23">
        <v>1.74</v>
      </c>
      <c r="G121" s="24">
        <f t="shared" si="48"/>
        <v>108.54196124095485</v>
      </c>
      <c r="H121" s="47">
        <f>'[1]auto data'!S18</f>
        <v>3.85</v>
      </c>
      <c r="I121" s="20">
        <v>0</v>
      </c>
      <c r="J121" s="22">
        <f>C169</f>
        <v>0.99641291351135908</v>
      </c>
      <c r="K121" s="24">
        <f t="shared" si="46"/>
        <v>289.78950000000003</v>
      </c>
      <c r="L121" s="35">
        <f t="shared" si="52"/>
        <v>1.669838435632184</v>
      </c>
      <c r="M121" s="28"/>
      <c r="N121" s="29"/>
      <c r="O121" s="30" t="s">
        <v>209</v>
      </c>
      <c r="P121" s="68">
        <v>4</v>
      </c>
    </row>
    <row r="122" spans="1:16" x14ac:dyDescent="0.2">
      <c r="A122" s="20" t="s">
        <v>223</v>
      </c>
      <c r="B122" s="20" t="s">
        <v>177</v>
      </c>
      <c r="C122" s="21">
        <v>44589</v>
      </c>
      <c r="D122" s="20">
        <v>50</v>
      </c>
      <c r="E122" s="22">
        <v>1.1152</v>
      </c>
      <c r="F122" s="77">
        <v>2.42</v>
      </c>
      <c r="G122" s="24">
        <f t="shared" si="48"/>
        <v>108.50071736011478</v>
      </c>
      <c r="H122" s="47">
        <f>'[1]auto data'!S18</f>
        <v>3.85</v>
      </c>
      <c r="I122" s="20">
        <v>0</v>
      </c>
      <c r="J122" s="22">
        <f>C169</f>
        <v>0.99641291351135908</v>
      </c>
      <c r="K122" s="24">
        <f t="shared" si="46"/>
        <v>193.19300000000001</v>
      </c>
      <c r="L122" s="78">
        <f t="shared" si="52"/>
        <v>0.78056887272727282</v>
      </c>
      <c r="M122" s="28"/>
      <c r="N122" s="29"/>
      <c r="O122" s="30" t="s">
        <v>209</v>
      </c>
      <c r="P122" s="68" t="s">
        <v>224</v>
      </c>
    </row>
    <row r="123" spans="1:16" x14ac:dyDescent="0.2">
      <c r="A123" s="20" t="s">
        <v>225</v>
      </c>
      <c r="B123" s="20" t="s">
        <v>177</v>
      </c>
      <c r="C123" s="21">
        <v>44690</v>
      </c>
      <c r="D123" s="20">
        <v>10</v>
      </c>
      <c r="E123" s="22">
        <v>1.0529999999999999</v>
      </c>
      <c r="F123" s="23">
        <v>3.62</v>
      </c>
      <c r="G123" s="24">
        <f t="shared" si="48"/>
        <v>34.377967711301046</v>
      </c>
      <c r="H123" s="47">
        <f>H122</f>
        <v>3.85</v>
      </c>
      <c r="I123" s="20">
        <v>0</v>
      </c>
      <c r="J123" s="22">
        <f>C169</f>
        <v>0.99641291351135908</v>
      </c>
      <c r="K123" s="24">
        <f>((H123+I123)/J123)*D123</f>
        <v>38.638600000000004</v>
      </c>
      <c r="L123" s="35">
        <f t="shared" si="52"/>
        <v>0.12393496685082878</v>
      </c>
      <c r="M123" s="28"/>
      <c r="N123" s="29"/>
      <c r="O123" s="30" t="s">
        <v>209</v>
      </c>
      <c r="P123" s="68" t="s">
        <v>226</v>
      </c>
    </row>
    <row r="124" spans="1:16" x14ac:dyDescent="0.2">
      <c r="A124" s="20" t="s">
        <v>227</v>
      </c>
      <c r="B124" s="20" t="s">
        <v>177</v>
      </c>
      <c r="C124" s="21">
        <v>44795</v>
      </c>
      <c r="D124" s="20">
        <v>18</v>
      </c>
      <c r="E124" s="22">
        <v>0.99419999999999997</v>
      </c>
      <c r="F124" s="23">
        <v>3.375</v>
      </c>
      <c r="G124" s="24">
        <f t="shared" si="48"/>
        <v>61.104405552202778</v>
      </c>
      <c r="H124" s="47">
        <f>H123</f>
        <v>3.85</v>
      </c>
      <c r="I124" s="20">
        <v>0</v>
      </c>
      <c r="J124" s="22">
        <f>C169</f>
        <v>0.99641291351135908</v>
      </c>
      <c r="K124" s="24">
        <f t="shared" ref="K124:K125" si="53">((H124+I124)/J124)*D124</f>
        <v>69.549480000000003</v>
      </c>
      <c r="L124" s="35">
        <f t="shared" si="52"/>
        <v>0.13820729244444446</v>
      </c>
      <c r="M124" s="28"/>
      <c r="N124" s="29"/>
      <c r="O124" s="30" t="s">
        <v>209</v>
      </c>
      <c r="P124" s="68" t="s">
        <v>228</v>
      </c>
    </row>
    <row r="125" spans="1:16" x14ac:dyDescent="0.2">
      <c r="A125" s="20" t="s">
        <v>229</v>
      </c>
      <c r="B125" s="20" t="s">
        <v>177</v>
      </c>
      <c r="C125" s="21">
        <v>44673</v>
      </c>
      <c r="D125" s="20">
        <v>32</v>
      </c>
      <c r="E125" s="22">
        <v>1.0787</v>
      </c>
      <c r="F125" s="23">
        <v>4.62</v>
      </c>
      <c r="G125" s="24">
        <f t="shared" si="48"/>
        <v>137.05386112913692</v>
      </c>
      <c r="H125" s="47">
        <f>H121</f>
        <v>3.85</v>
      </c>
      <c r="I125" s="20">
        <v>0</v>
      </c>
      <c r="J125" s="22">
        <f>C169</f>
        <v>0.99641291351135908</v>
      </c>
      <c r="K125" s="24">
        <f t="shared" si="53"/>
        <v>123.64352000000001</v>
      </c>
      <c r="L125" s="35">
        <f t="shared" si="52"/>
        <v>-9.7847233333333228E-2</v>
      </c>
      <c r="M125" s="28"/>
      <c r="N125" s="29"/>
      <c r="O125" s="30" t="s">
        <v>209</v>
      </c>
      <c r="P125" s="68" t="s">
        <v>230</v>
      </c>
    </row>
    <row r="126" spans="1:16" x14ac:dyDescent="0.2">
      <c r="A126" s="20" t="s">
        <v>231</v>
      </c>
      <c r="B126" s="20" t="s">
        <v>232</v>
      </c>
      <c r="C126" s="21">
        <v>43874</v>
      </c>
      <c r="D126" s="20">
        <v>300</v>
      </c>
      <c r="E126" s="22">
        <v>1.44</v>
      </c>
      <c r="F126" s="20">
        <v>0.37</v>
      </c>
      <c r="G126" s="24">
        <f>(F126*D126)/E126</f>
        <v>77.083333333333343</v>
      </c>
      <c r="H126" s="43">
        <f>'[1]auto data'!P3</f>
        <v>0.28000000000000003</v>
      </c>
      <c r="I126" s="20">
        <v>0</v>
      </c>
      <c r="J126" s="22">
        <f>C170</f>
        <v>1.3430029546065001</v>
      </c>
      <c r="K126" s="24">
        <f t="shared" si="46"/>
        <v>62.546400000000013</v>
      </c>
      <c r="L126" s="35">
        <f t="shared" si="52"/>
        <v>-0.18858724324324319</v>
      </c>
      <c r="M126" s="28"/>
      <c r="N126" s="29"/>
      <c r="O126" s="30" t="s">
        <v>221</v>
      </c>
      <c r="P126" s="68">
        <v>3</v>
      </c>
    </row>
    <row r="127" spans="1:16" x14ac:dyDescent="0.2">
      <c r="A127" s="20" t="s">
        <v>233</v>
      </c>
      <c r="B127" s="20" t="s">
        <v>234</v>
      </c>
      <c r="C127" s="21">
        <v>44287</v>
      </c>
      <c r="D127" s="20">
        <v>750</v>
      </c>
      <c r="E127" s="22">
        <v>1.55</v>
      </c>
      <c r="F127" s="23">
        <v>0.37</v>
      </c>
      <c r="G127" s="24">
        <f t="shared" ref="G127:G142" si="54">(F127*D127)/E127</f>
        <v>179.03225806451613</v>
      </c>
      <c r="H127" s="47">
        <f>'[1]auto data'!S19</f>
        <v>0.84499999999999997</v>
      </c>
      <c r="I127" s="20">
        <v>0</v>
      </c>
      <c r="J127" s="22">
        <f>C171</f>
        <v>1.5410695022345506</v>
      </c>
      <c r="K127" s="24">
        <f t="shared" si="46"/>
        <v>411.24037499999997</v>
      </c>
      <c r="L127" s="35">
        <f t="shared" si="52"/>
        <v>1.2970183108108106</v>
      </c>
      <c r="M127" s="28"/>
      <c r="N127" s="29"/>
      <c r="O127" s="30" t="s">
        <v>209</v>
      </c>
      <c r="P127" s="68">
        <v>5</v>
      </c>
    </row>
    <row r="128" spans="1:16" x14ac:dyDescent="0.2">
      <c r="A128" s="20" t="s">
        <v>235</v>
      </c>
      <c r="B128" s="20" t="s">
        <v>236</v>
      </c>
      <c r="C128" s="21">
        <v>44229</v>
      </c>
      <c r="D128" s="20">
        <v>75</v>
      </c>
      <c r="E128" s="22">
        <v>1.55</v>
      </c>
      <c r="F128" s="23">
        <v>2</v>
      </c>
      <c r="G128" s="24">
        <f t="shared" si="54"/>
        <v>96.774193548387089</v>
      </c>
      <c r="H128" s="47">
        <f>'[1]auto data'!M3</f>
        <v>3.4</v>
      </c>
      <c r="I128" s="20">
        <v>0</v>
      </c>
      <c r="J128" s="22">
        <f>C170</f>
        <v>1.3430029546065001</v>
      </c>
      <c r="K128" s="24">
        <f t="shared" si="46"/>
        <v>189.87299999999999</v>
      </c>
      <c r="L128" s="35">
        <f t="shared" si="52"/>
        <v>0.96202100000000002</v>
      </c>
      <c r="M128" s="28"/>
      <c r="N128" s="29"/>
      <c r="O128" s="30" t="s">
        <v>209</v>
      </c>
      <c r="P128" s="68">
        <v>6</v>
      </c>
    </row>
    <row r="129" spans="1:16" x14ac:dyDescent="0.2">
      <c r="A129" s="20" t="s">
        <v>237</v>
      </c>
      <c r="B129" s="20" t="s">
        <v>238</v>
      </c>
      <c r="C129" s="21">
        <v>44321</v>
      </c>
      <c r="D129" s="20">
        <v>2000</v>
      </c>
      <c r="E129" s="22">
        <v>1.5603</v>
      </c>
      <c r="F129" s="23">
        <v>0.14000000000000001</v>
      </c>
      <c r="G129" s="24">
        <f t="shared" si="54"/>
        <v>179.45266935845672</v>
      </c>
      <c r="H129" s="47">
        <f>'[1]auto data'!S20</f>
        <v>0.18</v>
      </c>
      <c r="I129" s="20">
        <v>0</v>
      </c>
      <c r="J129" s="22">
        <f>C171</f>
        <v>1.5410695022345506</v>
      </c>
      <c r="K129" s="24">
        <f>((H129+I129)/J129)*D129</f>
        <v>233.60400000000001</v>
      </c>
      <c r="L129" s="35">
        <f>(K129-G129)/G129</f>
        <v>0.30175828999999998</v>
      </c>
      <c r="M129" s="28"/>
      <c r="N129" s="19"/>
      <c r="O129" s="68" t="s">
        <v>209</v>
      </c>
      <c r="P129" s="68">
        <v>7</v>
      </c>
    </row>
    <row r="130" spans="1:16" x14ac:dyDescent="0.2">
      <c r="A130" s="20" t="s">
        <v>239</v>
      </c>
      <c r="B130" s="20" t="s">
        <v>240</v>
      </c>
      <c r="C130" s="21">
        <v>44281</v>
      </c>
      <c r="D130" s="20">
        <v>200</v>
      </c>
      <c r="E130" s="22">
        <v>1.55</v>
      </c>
      <c r="F130" s="23">
        <v>1.325</v>
      </c>
      <c r="G130" s="24">
        <f t="shared" si="54"/>
        <v>170.96774193548387</v>
      </c>
      <c r="H130" s="47">
        <f>'[1]auto data'!M7</f>
        <v>2.0499999999999998</v>
      </c>
      <c r="I130" s="20">
        <v>0</v>
      </c>
      <c r="J130" s="22">
        <f>C171</f>
        <v>1.5410695022345506</v>
      </c>
      <c r="K130" s="24">
        <f t="shared" ref="K130" si="55">((H130+I130)/J130)*D130</f>
        <v>266.04899999999998</v>
      </c>
      <c r="L130" s="35">
        <f t="shared" ref="L130" si="56">(K130-G130)/G130</f>
        <v>0.5561356603773584</v>
      </c>
      <c r="M130" s="28"/>
      <c r="N130" s="19"/>
      <c r="O130" s="68" t="s">
        <v>209</v>
      </c>
      <c r="P130" s="68">
        <v>8</v>
      </c>
    </row>
    <row r="131" spans="1:16" x14ac:dyDescent="0.2">
      <c r="A131" s="20" t="s">
        <v>241</v>
      </c>
      <c r="B131" s="20" t="s">
        <v>242</v>
      </c>
      <c r="C131" s="21">
        <v>44321</v>
      </c>
      <c r="D131" s="20">
        <v>1500</v>
      </c>
      <c r="E131" s="22">
        <v>1.4799</v>
      </c>
      <c r="F131" s="23">
        <v>0.1</v>
      </c>
      <c r="G131" s="24">
        <f t="shared" si="54"/>
        <v>101.35819987837016</v>
      </c>
      <c r="H131" s="47">
        <f>'[1]auto data'!M10</f>
        <v>6.5000000000000002E-2</v>
      </c>
      <c r="I131" s="20">
        <v>0</v>
      </c>
      <c r="J131" s="22">
        <f>C170</f>
        <v>1.3430029546065001</v>
      </c>
      <c r="K131" s="24">
        <f>((H131+I131)/J131)*D131</f>
        <v>72.598500000000001</v>
      </c>
      <c r="L131" s="35">
        <f>(K131-G131)/G131</f>
        <v>-0.28374319899999995</v>
      </c>
      <c r="M131" s="28"/>
      <c r="N131" s="19"/>
      <c r="O131" s="68" t="s">
        <v>209</v>
      </c>
      <c r="P131" s="68">
        <v>9</v>
      </c>
    </row>
    <row r="132" spans="1:16" x14ac:dyDescent="0.2">
      <c r="A132" s="20" t="s">
        <v>243</v>
      </c>
      <c r="B132" s="20" t="s">
        <v>244</v>
      </c>
      <c r="C132" s="21">
        <v>44216</v>
      </c>
      <c r="D132" s="20">
        <v>150</v>
      </c>
      <c r="E132" s="22">
        <v>1.55</v>
      </c>
      <c r="F132" s="23">
        <v>1.59</v>
      </c>
      <c r="G132" s="24">
        <f t="shared" si="54"/>
        <v>153.87096774193549</v>
      </c>
      <c r="H132" s="36">
        <f>'[1]auto data'!J36</f>
        <v>1.57</v>
      </c>
      <c r="I132" s="20">
        <v>0</v>
      </c>
      <c r="J132" s="22">
        <f>C170</f>
        <v>1.3430029546065001</v>
      </c>
      <c r="K132" s="24">
        <f t="shared" ref="K132:K142" si="57">((H132+I132)/J132)*D132</f>
        <v>175.35329999999999</v>
      </c>
      <c r="L132" s="35">
        <f t="shared" ref="L132:L142" si="58">(K132-G132)/G132</f>
        <v>0.13961264150943387</v>
      </c>
      <c r="M132" s="28"/>
      <c r="N132" s="29"/>
      <c r="O132" s="30" t="s">
        <v>204</v>
      </c>
      <c r="P132" s="68">
        <v>2</v>
      </c>
    </row>
    <row r="133" spans="1:16" x14ac:dyDescent="0.2">
      <c r="A133" s="20" t="s">
        <v>245</v>
      </c>
      <c r="B133" s="20" t="s">
        <v>246</v>
      </c>
      <c r="C133" s="21">
        <v>44270</v>
      </c>
      <c r="D133" s="20">
        <v>75</v>
      </c>
      <c r="E133" s="22">
        <v>1.49</v>
      </c>
      <c r="F133" s="23">
        <v>2.19</v>
      </c>
      <c r="G133" s="24">
        <f t="shared" si="54"/>
        <v>110.23489932885906</v>
      </c>
      <c r="H133" s="47">
        <f>'[1]auto data'!M5</f>
        <v>3.82</v>
      </c>
      <c r="I133" s="20">
        <v>0</v>
      </c>
      <c r="J133" s="22">
        <f>C170</f>
        <v>1.3430029546065001</v>
      </c>
      <c r="K133" s="24">
        <f t="shared" si="57"/>
        <v>213.3279</v>
      </c>
      <c r="L133" s="35">
        <f t="shared" si="58"/>
        <v>0.93521200000000004</v>
      </c>
      <c r="M133" s="28"/>
      <c r="N133" s="29"/>
      <c r="O133" s="30" t="s">
        <v>209</v>
      </c>
      <c r="P133" s="68">
        <v>10</v>
      </c>
    </row>
    <row r="134" spans="1:16" x14ac:dyDescent="0.2">
      <c r="A134" s="20" t="s">
        <v>247</v>
      </c>
      <c r="B134" s="20" t="s">
        <v>246</v>
      </c>
      <c r="C134" s="21">
        <v>44707</v>
      </c>
      <c r="D134" s="20">
        <v>10</v>
      </c>
      <c r="E134" s="22">
        <v>1.371</v>
      </c>
      <c r="F134" s="23">
        <v>2.92</v>
      </c>
      <c r="G134" s="24">
        <f t="shared" si="54"/>
        <v>21.298322392414295</v>
      </c>
      <c r="H134" s="47">
        <f>H133</f>
        <v>3.82</v>
      </c>
      <c r="I134" s="20">
        <v>0</v>
      </c>
      <c r="J134" s="22">
        <f>C170</f>
        <v>1.3430029546065001</v>
      </c>
      <c r="K134" s="24">
        <f>((H134+I134)/J134)*D134</f>
        <v>28.443719999999999</v>
      </c>
      <c r="L134" s="35">
        <f t="shared" si="58"/>
        <v>0.33549109999999999</v>
      </c>
      <c r="M134" s="28"/>
      <c r="N134" s="29"/>
      <c r="O134" s="30" t="s">
        <v>209</v>
      </c>
      <c r="P134" s="68" t="s">
        <v>248</v>
      </c>
    </row>
    <row r="135" spans="1:16" x14ac:dyDescent="0.2">
      <c r="A135" s="20" t="s">
        <v>249</v>
      </c>
      <c r="B135" s="20" t="s">
        <v>139</v>
      </c>
      <c r="C135" s="21">
        <v>44278</v>
      </c>
      <c r="D135" s="20">
        <v>50</v>
      </c>
      <c r="E135" s="22">
        <v>1.1825000000000001</v>
      </c>
      <c r="F135" s="23">
        <v>4.8099999999999996</v>
      </c>
      <c r="G135" s="24">
        <f t="shared" si="54"/>
        <v>203.38266384778009</v>
      </c>
      <c r="H135" s="47">
        <f>'[1]auto data'!M6</f>
        <v>6.91</v>
      </c>
      <c r="I135" s="20">
        <v>0</v>
      </c>
      <c r="J135" s="22">
        <f>C169</f>
        <v>0.99641291351135908</v>
      </c>
      <c r="K135" s="24">
        <f t="shared" si="57"/>
        <v>346.74380000000002</v>
      </c>
      <c r="L135" s="35">
        <f t="shared" si="58"/>
        <v>0.70488375675675718</v>
      </c>
      <c r="M135" s="28"/>
      <c r="N135" s="29"/>
      <c r="O135" s="30" t="s">
        <v>209</v>
      </c>
      <c r="P135" s="68">
        <v>11</v>
      </c>
    </row>
    <row r="136" spans="1:16" x14ac:dyDescent="0.2">
      <c r="A136" s="20" t="s">
        <v>250</v>
      </c>
      <c r="B136" s="20" t="s">
        <v>139</v>
      </c>
      <c r="C136" s="21">
        <v>44550</v>
      </c>
      <c r="D136" s="20">
        <v>41</v>
      </c>
      <c r="E136" s="22">
        <v>1.1258999999999999</v>
      </c>
      <c r="F136" s="23">
        <v>6.4950000000000001</v>
      </c>
      <c r="G136" s="24">
        <f t="shared" si="54"/>
        <v>236.51745270450309</v>
      </c>
      <c r="H136" s="47">
        <f>H135</f>
        <v>6.91</v>
      </c>
      <c r="I136" s="20">
        <v>0</v>
      </c>
      <c r="J136" s="22">
        <f>C169</f>
        <v>0.99641291351135908</v>
      </c>
      <c r="K136" s="24">
        <f>((H136+I136)/J136)*D136</f>
        <v>284.32991600000003</v>
      </c>
      <c r="L136" s="35">
        <f t="shared" si="58"/>
        <v>0.20215194586605081</v>
      </c>
      <c r="M136" s="28"/>
      <c r="N136" s="29"/>
      <c r="O136" s="30" t="s">
        <v>209</v>
      </c>
      <c r="P136" s="79" t="s">
        <v>251</v>
      </c>
    </row>
    <row r="137" spans="1:16" x14ac:dyDescent="0.2">
      <c r="A137" s="20" t="s">
        <v>252</v>
      </c>
      <c r="B137" s="20" t="s">
        <v>139</v>
      </c>
      <c r="C137" s="21">
        <v>44699</v>
      </c>
      <c r="D137" s="20">
        <v>14</v>
      </c>
      <c r="E137" s="22">
        <v>1.0485</v>
      </c>
      <c r="F137" s="23">
        <v>5.86</v>
      </c>
      <c r="G137" s="24">
        <f t="shared" si="54"/>
        <v>78.245112064854567</v>
      </c>
      <c r="H137" s="47">
        <f>H136</f>
        <v>6.91</v>
      </c>
      <c r="I137" s="20">
        <v>0</v>
      </c>
      <c r="J137" s="22">
        <f>C169</f>
        <v>0.99641291351135908</v>
      </c>
      <c r="K137" s="24">
        <f t="shared" ref="K137" si="59">((H137+I137)/J137)*D137</f>
        <v>97.088263999999995</v>
      </c>
      <c r="L137" s="35">
        <f t="shared" si="58"/>
        <v>0.24082209658703047</v>
      </c>
      <c r="M137" s="28"/>
      <c r="N137" s="29"/>
      <c r="O137" s="30" t="s">
        <v>209</v>
      </c>
      <c r="P137" s="79" t="s">
        <v>253</v>
      </c>
    </row>
    <row r="138" spans="1:16" x14ac:dyDescent="0.2">
      <c r="A138" s="20" t="s">
        <v>254</v>
      </c>
      <c r="B138" s="20" t="s">
        <v>255</v>
      </c>
      <c r="C138" s="21">
        <v>44253</v>
      </c>
      <c r="D138" s="20">
        <v>200</v>
      </c>
      <c r="E138" s="22">
        <v>1.52</v>
      </c>
      <c r="F138" s="23">
        <v>1.05</v>
      </c>
      <c r="G138" s="24">
        <f t="shared" si="54"/>
        <v>138.15789473684211</v>
      </c>
      <c r="H138" s="47">
        <f>'[1]auto data'!M4</f>
        <v>1.18</v>
      </c>
      <c r="I138" s="20">
        <v>0</v>
      </c>
      <c r="J138" s="22">
        <f>C169</f>
        <v>0.99641291351135908</v>
      </c>
      <c r="K138" s="24">
        <f t="shared" si="57"/>
        <v>236.84959999999998</v>
      </c>
      <c r="L138" s="35">
        <f t="shared" si="58"/>
        <v>0.71433996190476168</v>
      </c>
      <c r="M138" s="28"/>
      <c r="N138" s="80"/>
      <c r="O138" s="30" t="s">
        <v>209</v>
      </c>
      <c r="P138" s="68">
        <v>12</v>
      </c>
    </row>
    <row r="139" spans="1:16" x14ac:dyDescent="0.2">
      <c r="A139" s="20" t="s">
        <v>256</v>
      </c>
      <c r="B139" s="20" t="s">
        <v>255</v>
      </c>
      <c r="C139" s="21">
        <v>44582</v>
      </c>
      <c r="D139" s="20">
        <v>100</v>
      </c>
      <c r="E139" s="22">
        <v>1.1346000000000001</v>
      </c>
      <c r="F139" s="23">
        <v>1.2</v>
      </c>
      <c r="G139" s="24">
        <f t="shared" si="54"/>
        <v>105.76414595452141</v>
      </c>
      <c r="H139" s="47">
        <f>'[1]auto data'!M4</f>
        <v>1.18</v>
      </c>
      <c r="I139" s="20">
        <v>0</v>
      </c>
      <c r="J139" s="22">
        <f>C169</f>
        <v>0.99641291351135908</v>
      </c>
      <c r="K139" s="24">
        <f t="shared" si="57"/>
        <v>118.42479999999999</v>
      </c>
      <c r="L139" s="35">
        <f t="shared" si="58"/>
        <v>0.11970648399999999</v>
      </c>
      <c r="M139" s="28"/>
      <c r="N139" s="29"/>
      <c r="O139" s="30" t="s">
        <v>209</v>
      </c>
      <c r="P139" s="68" t="s">
        <v>257</v>
      </c>
    </row>
    <row r="140" spans="1:16" x14ac:dyDescent="0.2">
      <c r="A140" s="20" t="s">
        <v>258</v>
      </c>
      <c r="B140" s="20" t="s">
        <v>259</v>
      </c>
      <c r="C140" s="21">
        <v>44350</v>
      </c>
      <c r="D140" s="20">
        <v>187</v>
      </c>
      <c r="E140" s="22">
        <v>1.57</v>
      </c>
      <c r="F140" s="23">
        <v>1.4</v>
      </c>
      <c r="G140" s="24">
        <f t="shared" si="54"/>
        <v>166.75159235668789</v>
      </c>
      <c r="H140" s="47">
        <f>'[1]auto data'!M12</f>
        <v>2.6</v>
      </c>
      <c r="I140" s="20">
        <v>0</v>
      </c>
      <c r="J140" s="22">
        <f>C171</f>
        <v>1.5410695022345506</v>
      </c>
      <c r="K140" s="24">
        <f t="shared" si="57"/>
        <v>315.49518000000006</v>
      </c>
      <c r="L140" s="35">
        <f t="shared" si="58"/>
        <v>0.89200700000000044</v>
      </c>
      <c r="M140" s="28"/>
      <c r="N140" s="29"/>
      <c r="O140" s="30" t="s">
        <v>209</v>
      </c>
      <c r="P140" s="68">
        <v>13</v>
      </c>
    </row>
    <row r="141" spans="1:16" x14ac:dyDescent="0.2">
      <c r="A141" s="81" t="s">
        <v>260</v>
      </c>
      <c r="B141" s="20" t="s">
        <v>261</v>
      </c>
      <c r="C141" s="21">
        <v>44054</v>
      </c>
      <c r="D141" s="20">
        <v>50</v>
      </c>
      <c r="E141" s="22">
        <v>1.58</v>
      </c>
      <c r="F141" s="23">
        <v>3.64</v>
      </c>
      <c r="G141" s="24">
        <f t="shared" si="54"/>
        <v>115.18987341772151</v>
      </c>
      <c r="H141" s="25">
        <f>'[1]auto data'!J26</f>
        <v>3.23</v>
      </c>
      <c r="I141" s="20">
        <v>0</v>
      </c>
      <c r="J141" s="22">
        <f>C170</f>
        <v>1.3430029546065001</v>
      </c>
      <c r="K141" s="24">
        <f t="shared" si="57"/>
        <v>120.2529</v>
      </c>
      <c r="L141" s="35">
        <f t="shared" si="58"/>
        <v>4.3953747252747262E-2</v>
      </c>
      <c r="M141" s="28"/>
      <c r="N141" s="29"/>
      <c r="O141" s="30" t="s">
        <v>204</v>
      </c>
      <c r="P141" s="82">
        <v>3</v>
      </c>
    </row>
    <row r="142" spans="1:16" x14ac:dyDescent="0.2">
      <c r="A142" s="20" t="s">
        <v>262</v>
      </c>
      <c r="B142" s="20" t="s">
        <v>39</v>
      </c>
      <c r="C142" s="21">
        <v>44806</v>
      </c>
      <c r="D142" s="20">
        <v>15</v>
      </c>
      <c r="E142" s="22">
        <v>0.99550000000000005</v>
      </c>
      <c r="F142" s="23">
        <v>3.99</v>
      </c>
      <c r="G142" s="24">
        <f t="shared" si="54"/>
        <v>60.12054244098443</v>
      </c>
      <c r="H142" s="36">
        <v>4.78</v>
      </c>
      <c r="I142" s="20">
        <v>0</v>
      </c>
      <c r="J142" s="22">
        <f>C169</f>
        <v>0.99641291351135908</v>
      </c>
      <c r="K142" s="24">
        <f t="shared" si="57"/>
        <v>71.958120000000008</v>
      </c>
      <c r="L142" s="35">
        <f t="shared" si="58"/>
        <v>0.19689738446115301</v>
      </c>
      <c r="M142" s="28"/>
      <c r="N142" s="29"/>
      <c r="O142" s="30" t="s">
        <v>263</v>
      </c>
      <c r="P142" s="68" t="s">
        <v>263</v>
      </c>
    </row>
    <row r="143" spans="1:16" x14ac:dyDescent="0.2">
      <c r="A143" s="83" t="s">
        <v>264</v>
      </c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5"/>
    </row>
    <row r="144" spans="1:16" x14ac:dyDescent="0.2">
      <c r="A144" s="86" t="s">
        <v>265</v>
      </c>
      <c r="B144" s="13" t="s">
        <v>266</v>
      </c>
      <c r="C144" s="14" t="s">
        <v>267</v>
      </c>
      <c r="D144" s="13"/>
      <c r="E144" s="87"/>
      <c r="F144" s="88"/>
      <c r="G144" s="89"/>
      <c r="H144" s="90"/>
      <c r="I144" s="13"/>
      <c r="J144" s="87"/>
      <c r="K144" s="89" t="s">
        <v>159</v>
      </c>
      <c r="L144" s="35"/>
      <c r="M144" s="28"/>
      <c r="N144" s="29"/>
      <c r="O144" s="30"/>
      <c r="P144" s="68"/>
    </row>
    <row r="145" spans="1:16" x14ac:dyDescent="0.2">
      <c r="A145" s="13" t="s">
        <v>268</v>
      </c>
      <c r="B145" s="20"/>
      <c r="C145" s="21"/>
      <c r="D145" s="69"/>
      <c r="E145" s="70"/>
      <c r="F145" s="20"/>
      <c r="G145" s="37"/>
      <c r="H145" s="26"/>
      <c r="I145" s="71"/>
      <c r="J145" s="70"/>
      <c r="K145" s="24">
        <v>8467</v>
      </c>
      <c r="L145" s="91"/>
      <c r="M145" s="68"/>
      <c r="N145" s="29"/>
      <c r="O145" s="30"/>
      <c r="P145" s="68"/>
    </row>
    <row r="146" spans="1:16" x14ac:dyDescent="0.2">
      <c r="A146" s="13" t="s">
        <v>269</v>
      </c>
      <c r="B146" s="20"/>
      <c r="C146" s="21"/>
      <c r="D146" s="69"/>
      <c r="E146" s="70"/>
      <c r="F146" s="20"/>
      <c r="G146" s="37"/>
      <c r="H146" s="26"/>
      <c r="I146" s="71"/>
      <c r="J146" s="70"/>
      <c r="K146" s="24">
        <v>19016</v>
      </c>
      <c r="L146" s="91"/>
      <c r="M146" s="68"/>
      <c r="N146" s="29"/>
      <c r="O146" s="30"/>
      <c r="P146" s="68"/>
    </row>
    <row r="147" spans="1:16" x14ac:dyDescent="0.2">
      <c r="A147" s="13" t="s">
        <v>270</v>
      </c>
      <c r="B147" s="20"/>
      <c r="C147" s="21"/>
      <c r="D147" s="20"/>
      <c r="E147" s="22"/>
      <c r="F147" s="23"/>
      <c r="G147" s="24"/>
      <c r="H147" s="92"/>
      <c r="I147" s="26"/>
      <c r="J147" s="22"/>
      <c r="K147" s="24">
        <v>110</v>
      </c>
      <c r="L147" s="35"/>
      <c r="M147" s="28"/>
      <c r="N147" s="29"/>
      <c r="O147" s="30"/>
      <c r="P147" s="33"/>
    </row>
    <row r="148" spans="1:16" x14ac:dyDescent="0.2">
      <c r="A148" s="13" t="s">
        <v>271</v>
      </c>
      <c r="B148" s="20"/>
      <c r="C148" s="21"/>
      <c r="D148" s="20"/>
      <c r="E148" s="22"/>
      <c r="F148" s="23"/>
      <c r="G148" s="24"/>
      <c r="H148" s="92"/>
      <c r="I148" s="26"/>
      <c r="J148" s="22"/>
      <c r="K148" s="24">
        <v>5926</v>
      </c>
      <c r="L148" s="35"/>
      <c r="M148" s="28"/>
      <c r="N148" s="29"/>
      <c r="O148" s="30"/>
      <c r="P148" s="33"/>
    </row>
    <row r="149" spans="1:16" x14ac:dyDescent="0.2">
      <c r="A149" s="20" t="s">
        <v>29</v>
      </c>
      <c r="B149" s="20" t="s">
        <v>30</v>
      </c>
      <c r="C149" s="21">
        <v>44747</v>
      </c>
      <c r="D149" s="20"/>
      <c r="E149" s="22"/>
      <c r="F149" s="23"/>
      <c r="G149" s="24"/>
      <c r="H149" s="92"/>
      <c r="I149" s="26"/>
      <c r="J149" s="22"/>
      <c r="K149" s="24">
        <v>-618</v>
      </c>
      <c r="L149" s="35"/>
      <c r="M149" s="28"/>
      <c r="N149" s="29"/>
      <c r="O149" s="30"/>
      <c r="P149" s="33"/>
    </row>
    <row r="150" spans="1:16" x14ac:dyDescent="0.2">
      <c r="A150" s="20" t="s">
        <v>91</v>
      </c>
      <c r="B150" s="20" t="s">
        <v>92</v>
      </c>
      <c r="C150" s="21">
        <v>44761</v>
      </c>
      <c r="D150" s="20"/>
      <c r="E150" s="22"/>
      <c r="F150" s="23"/>
      <c r="G150" s="24"/>
      <c r="H150" s="92"/>
      <c r="I150" s="26"/>
      <c r="J150" s="22"/>
      <c r="K150" s="24">
        <v>10</v>
      </c>
      <c r="L150" s="35"/>
      <c r="M150" s="28"/>
      <c r="N150" s="29"/>
      <c r="O150" s="30"/>
      <c r="P150" s="33"/>
    </row>
    <row r="151" spans="1:16" x14ac:dyDescent="0.2">
      <c r="A151" s="42" t="s">
        <v>178</v>
      </c>
      <c r="B151" s="20" t="s">
        <v>139</v>
      </c>
      <c r="C151" s="21">
        <v>44761</v>
      </c>
      <c r="D151" s="20"/>
      <c r="E151" s="22"/>
      <c r="F151" s="23"/>
      <c r="G151" s="24"/>
      <c r="H151" s="92"/>
      <c r="I151" s="26"/>
      <c r="J151" s="22"/>
      <c r="K151" s="24">
        <v>15</v>
      </c>
      <c r="L151" s="35"/>
      <c r="M151" s="28"/>
      <c r="N151" s="29"/>
      <c r="O151" s="30"/>
      <c r="P151" s="33"/>
    </row>
    <row r="152" spans="1:16" x14ac:dyDescent="0.2">
      <c r="A152" s="42" t="s">
        <v>179</v>
      </c>
      <c r="B152" s="20" t="s">
        <v>50</v>
      </c>
      <c r="C152" s="21">
        <v>44735</v>
      </c>
      <c r="D152" s="20"/>
      <c r="E152" s="22"/>
      <c r="F152" s="23"/>
      <c r="G152" s="24"/>
      <c r="H152" s="92"/>
      <c r="I152" s="26"/>
      <c r="J152" s="22"/>
      <c r="K152" s="24">
        <v>13</v>
      </c>
      <c r="L152" s="35"/>
      <c r="M152" s="28"/>
      <c r="N152" s="29"/>
      <c r="O152" s="30"/>
      <c r="P152" s="33"/>
    </row>
    <row r="153" spans="1:16" x14ac:dyDescent="0.2">
      <c r="A153" s="20" t="s">
        <v>132</v>
      </c>
      <c r="B153" s="20" t="s">
        <v>133</v>
      </c>
      <c r="C153" s="21">
        <v>44775</v>
      </c>
      <c r="D153" s="20"/>
      <c r="E153" s="22"/>
      <c r="F153" s="23"/>
      <c r="G153" s="24"/>
      <c r="H153" s="92"/>
      <c r="I153" s="26"/>
      <c r="J153" s="22"/>
      <c r="K153" s="24">
        <v>10</v>
      </c>
      <c r="L153" s="35"/>
      <c r="M153" s="28"/>
      <c r="N153" s="29"/>
      <c r="O153" s="30"/>
      <c r="P153" s="33"/>
    </row>
    <row r="154" spans="1:16" x14ac:dyDescent="0.2">
      <c r="A154" s="20" t="s">
        <v>89</v>
      </c>
      <c r="B154" s="20" t="s">
        <v>90</v>
      </c>
      <c r="C154" s="21">
        <v>44777</v>
      </c>
      <c r="D154" s="20"/>
      <c r="E154" s="22"/>
      <c r="F154" s="23"/>
      <c r="G154" s="24"/>
      <c r="H154" s="92"/>
      <c r="I154" s="26"/>
      <c r="J154" s="22"/>
      <c r="K154" s="24">
        <v>14</v>
      </c>
      <c r="L154" s="35"/>
      <c r="M154" s="28"/>
      <c r="N154" s="29"/>
      <c r="O154" s="30"/>
      <c r="P154" s="33"/>
    </row>
    <row r="155" spans="1:16" x14ac:dyDescent="0.2">
      <c r="A155" s="20" t="s">
        <v>33</v>
      </c>
      <c r="B155" s="21" t="s">
        <v>34</v>
      </c>
      <c r="C155" s="21">
        <v>44784</v>
      </c>
      <c r="D155" s="20"/>
      <c r="E155" s="22"/>
      <c r="F155" s="23"/>
      <c r="G155" s="24"/>
      <c r="H155" s="92"/>
      <c r="I155" s="26"/>
      <c r="J155" s="22"/>
      <c r="K155" s="24">
        <v>55</v>
      </c>
      <c r="L155" s="35"/>
      <c r="M155" s="28"/>
      <c r="N155" s="29"/>
      <c r="O155" s="30"/>
      <c r="P155" s="33"/>
    </row>
    <row r="156" spans="1:16" x14ac:dyDescent="0.2">
      <c r="A156" s="20" t="s">
        <v>124</v>
      </c>
      <c r="B156" s="20" t="s">
        <v>125</v>
      </c>
      <c r="C156" s="21">
        <v>44793</v>
      </c>
      <c r="D156" s="20"/>
      <c r="E156" s="22"/>
      <c r="F156" s="23"/>
      <c r="G156" s="24"/>
      <c r="H156" s="92"/>
      <c r="I156" s="26"/>
      <c r="J156" s="22"/>
      <c r="K156" s="24">
        <v>51</v>
      </c>
      <c r="L156" s="35"/>
      <c r="M156" s="28"/>
      <c r="N156" s="29"/>
      <c r="O156" s="30"/>
      <c r="P156" s="33"/>
    </row>
    <row r="157" spans="1:16" x14ac:dyDescent="0.2">
      <c r="A157" s="62" t="s">
        <v>136</v>
      </c>
      <c r="B157" s="62" t="s">
        <v>137</v>
      </c>
      <c r="C157" s="63">
        <v>44810</v>
      </c>
      <c r="D157" s="20"/>
      <c r="E157" s="22"/>
      <c r="F157" s="23"/>
      <c r="G157" s="24"/>
      <c r="H157" s="92"/>
      <c r="I157" s="26"/>
      <c r="J157" s="22"/>
      <c r="K157" s="24">
        <v>14</v>
      </c>
      <c r="L157" s="35"/>
      <c r="M157" s="28"/>
      <c r="N157" s="29"/>
      <c r="O157" s="30"/>
      <c r="P157" s="33"/>
    </row>
    <row r="158" spans="1:16" x14ac:dyDescent="0.2">
      <c r="A158" s="20"/>
      <c r="B158" s="20"/>
      <c r="C158" s="21"/>
      <c r="D158" s="20"/>
      <c r="E158" s="22"/>
      <c r="F158" s="23"/>
      <c r="G158" s="24"/>
      <c r="H158" s="92"/>
      <c r="I158" s="26"/>
      <c r="J158" s="22"/>
      <c r="K158" s="24"/>
      <c r="L158" s="35"/>
      <c r="M158" s="28"/>
      <c r="N158" s="29"/>
      <c r="O158" s="30"/>
      <c r="P158" s="33"/>
    </row>
    <row r="159" spans="1:16" x14ac:dyDescent="0.2">
      <c r="A159" s="83" t="s">
        <v>272</v>
      </c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93"/>
      <c r="O159" s="94"/>
      <c r="P159" s="95"/>
    </row>
    <row r="160" spans="1:16" x14ac:dyDescent="0.2">
      <c r="A160" s="13" t="s">
        <v>2</v>
      </c>
      <c r="B160" s="13" t="s">
        <v>3</v>
      </c>
      <c r="C160" s="14" t="s">
        <v>273</v>
      </c>
      <c r="D160" s="13" t="s">
        <v>5</v>
      </c>
      <c r="E160" s="15" t="s">
        <v>274</v>
      </c>
      <c r="F160" s="13" t="s">
        <v>275</v>
      </c>
      <c r="G160" s="13" t="s">
        <v>276</v>
      </c>
      <c r="H160" s="16" t="s">
        <v>9</v>
      </c>
      <c r="I160" s="13" t="s">
        <v>10</v>
      </c>
      <c r="J160" s="15" t="s">
        <v>11</v>
      </c>
      <c r="K160" s="13" t="s">
        <v>12</v>
      </c>
      <c r="L160" s="13" t="s">
        <v>13</v>
      </c>
      <c r="M160" s="17" t="s">
        <v>14</v>
      </c>
      <c r="N160" s="18"/>
      <c r="O160" s="96"/>
      <c r="P160" s="17"/>
    </row>
    <row r="161" spans="1:16" x14ac:dyDescent="0.2">
      <c r="A161" s="20" t="s">
        <v>277</v>
      </c>
      <c r="B161" s="20" t="s">
        <v>278</v>
      </c>
      <c r="C161" s="21">
        <v>44601</v>
      </c>
      <c r="D161" s="20">
        <v>-1</v>
      </c>
      <c r="E161" s="22">
        <v>1.1438999999999999</v>
      </c>
      <c r="F161" s="23">
        <v>3250</v>
      </c>
      <c r="G161" s="24">
        <f t="shared" ref="G161:G167" si="60">(D161*F161)/E161</f>
        <v>-2841.1574438325028</v>
      </c>
      <c r="H161" s="92">
        <v>2735</v>
      </c>
      <c r="I161" s="26">
        <v>0</v>
      </c>
      <c r="J161" s="22">
        <f>C169</f>
        <v>0.99641291351135908</v>
      </c>
      <c r="K161" s="24">
        <f t="shared" ref="K161:K167" si="61">-(D161*H161)/J161</f>
        <v>2744.846</v>
      </c>
      <c r="L161" s="35">
        <f t="shared" ref="L161:L167" si="62">M161/(-G161)</f>
        <v>3.3898664799999999E-2</v>
      </c>
      <c r="M161" s="28">
        <f t="shared" ref="M161:M167" si="63">-G161-K161</f>
        <v>96.311443832502846</v>
      </c>
      <c r="N161" s="19"/>
      <c r="O161" s="19"/>
      <c r="P161" s="19" t="s">
        <v>279</v>
      </c>
    </row>
    <row r="162" spans="1:16" x14ac:dyDescent="0.2">
      <c r="A162" s="20" t="s">
        <v>280</v>
      </c>
      <c r="B162" s="20" t="s">
        <v>281</v>
      </c>
      <c r="C162" s="21">
        <v>44638</v>
      </c>
      <c r="D162" s="20">
        <v>-1</v>
      </c>
      <c r="E162" s="22">
        <v>1.1060000000000001</v>
      </c>
      <c r="F162" s="23">
        <v>1000</v>
      </c>
      <c r="G162" s="24">
        <f t="shared" si="60"/>
        <v>-904.15913200723321</v>
      </c>
      <c r="H162" s="92">
        <v>876.5</v>
      </c>
      <c r="I162" s="26">
        <v>0</v>
      </c>
      <c r="J162" s="22">
        <f>C169</f>
        <v>0.99641291351135908</v>
      </c>
      <c r="K162" s="24">
        <f t="shared" si="61"/>
        <v>879.65539999999999</v>
      </c>
      <c r="L162" s="35">
        <f t="shared" si="62"/>
        <v>2.7101127599999948E-2</v>
      </c>
      <c r="M162" s="28">
        <f t="shared" si="63"/>
        <v>24.503732007233225</v>
      </c>
      <c r="N162" s="19"/>
      <c r="O162" s="19"/>
      <c r="P162" s="19" t="s">
        <v>162</v>
      </c>
    </row>
    <row r="163" spans="1:16" x14ac:dyDescent="0.2">
      <c r="A163" s="32" t="s">
        <v>277</v>
      </c>
      <c r="B163" s="20" t="s">
        <v>278</v>
      </c>
      <c r="C163" s="97">
        <v>44817</v>
      </c>
      <c r="D163" s="20">
        <v>-5</v>
      </c>
      <c r="E163" s="22">
        <v>0.99739999999999995</v>
      </c>
      <c r="F163" s="23">
        <v>136.5</v>
      </c>
      <c r="G163" s="24">
        <f t="shared" si="60"/>
        <v>-684.2791257268899</v>
      </c>
      <c r="H163" s="36">
        <f>'[1]auto data'!C10</f>
        <v>90.98</v>
      </c>
      <c r="I163" s="26">
        <v>0</v>
      </c>
      <c r="J163" s="22">
        <f>C169</f>
        <v>0.99641291351135908</v>
      </c>
      <c r="K163" s="24">
        <f t="shared" si="61"/>
        <v>456.53764000000007</v>
      </c>
      <c r="L163" s="35">
        <f t="shared" si="62"/>
        <v>0.33281957196190465</v>
      </c>
      <c r="M163" s="28">
        <f t="shared" si="63"/>
        <v>227.74148572688983</v>
      </c>
      <c r="N163" s="19"/>
      <c r="O163" s="19"/>
      <c r="P163" s="19"/>
    </row>
    <row r="164" spans="1:16" x14ac:dyDescent="0.2">
      <c r="A164" s="32" t="s">
        <v>280</v>
      </c>
      <c r="B164" s="20" t="s">
        <v>281</v>
      </c>
      <c r="C164" s="21">
        <v>44818</v>
      </c>
      <c r="D164" s="20">
        <v>-2</v>
      </c>
      <c r="E164" s="22">
        <v>0.99780000000000002</v>
      </c>
      <c r="F164" s="23">
        <v>304</v>
      </c>
      <c r="G164" s="24">
        <f t="shared" si="60"/>
        <v>-609.34054920825815</v>
      </c>
      <c r="H164" s="36">
        <f>'[1]auto data'!C11</f>
        <v>207.47</v>
      </c>
      <c r="I164" s="26">
        <v>0</v>
      </c>
      <c r="J164" s="22">
        <f>C169</f>
        <v>0.99641291351135908</v>
      </c>
      <c r="K164" s="24">
        <f t="shared" si="61"/>
        <v>416.433784</v>
      </c>
      <c r="L164" s="35">
        <f t="shared" si="62"/>
        <v>0.31658284592894737</v>
      </c>
      <c r="M164" s="28">
        <f t="shared" si="63"/>
        <v>192.90676520825815</v>
      </c>
      <c r="N164" s="19"/>
      <c r="O164" s="19"/>
      <c r="P164" s="19"/>
    </row>
    <row r="165" spans="1:16" x14ac:dyDescent="0.2">
      <c r="A165" s="32" t="s">
        <v>282</v>
      </c>
      <c r="B165" s="20" t="s">
        <v>283</v>
      </c>
      <c r="C165" s="21">
        <v>44865</v>
      </c>
      <c r="D165" s="20">
        <v>-5</v>
      </c>
      <c r="E165" s="22">
        <v>0.98829999999999996</v>
      </c>
      <c r="F165" s="23">
        <v>153.49</v>
      </c>
      <c r="G165" s="24">
        <f t="shared" si="60"/>
        <v>-776.5354649397957</v>
      </c>
      <c r="H165" s="36">
        <f>'[1]auto data'!C12</f>
        <v>138.38</v>
      </c>
      <c r="I165" s="26">
        <v>0</v>
      </c>
      <c r="J165" s="22">
        <f>C169</f>
        <v>0.99641291351135908</v>
      </c>
      <c r="K165" s="24">
        <f t="shared" si="61"/>
        <v>694.39084000000003</v>
      </c>
      <c r="L165" s="35">
        <f t="shared" si="62"/>
        <v>0.10578348143592424</v>
      </c>
      <c r="M165" s="28">
        <f t="shared" si="63"/>
        <v>82.144624939795676</v>
      </c>
      <c r="N165" s="19"/>
      <c r="O165" s="19"/>
      <c r="P165" s="19"/>
    </row>
    <row r="166" spans="1:16" x14ac:dyDescent="0.2">
      <c r="A166" s="20" t="s">
        <v>280</v>
      </c>
      <c r="B166" s="20" t="s">
        <v>281</v>
      </c>
      <c r="C166" s="21">
        <v>44819</v>
      </c>
      <c r="D166" s="20">
        <v>-3</v>
      </c>
      <c r="E166" s="22">
        <v>0.99780000000000002</v>
      </c>
      <c r="F166" s="23">
        <v>305</v>
      </c>
      <c r="G166" s="24">
        <f t="shared" si="60"/>
        <v>-917.01743836440164</v>
      </c>
      <c r="H166" s="92">
        <v>223.76</v>
      </c>
      <c r="I166" s="26">
        <v>0</v>
      </c>
      <c r="J166" s="22">
        <f>C169</f>
        <v>0.99641291351135908</v>
      </c>
      <c r="K166" s="24">
        <f t="shared" si="61"/>
        <v>673.69660799999997</v>
      </c>
      <c r="L166" s="35">
        <f t="shared" si="62"/>
        <v>0.26533937107934424</v>
      </c>
      <c r="M166" s="28">
        <f t="shared" si="63"/>
        <v>243.32083036440167</v>
      </c>
      <c r="N166" s="19"/>
      <c r="O166" s="19"/>
      <c r="P166" s="19" t="s">
        <v>162</v>
      </c>
    </row>
    <row r="167" spans="1:16" x14ac:dyDescent="0.2">
      <c r="A167" s="20" t="s">
        <v>277</v>
      </c>
      <c r="B167" s="20" t="s">
        <v>278</v>
      </c>
      <c r="C167" s="97">
        <v>44817</v>
      </c>
      <c r="D167" s="20">
        <v>-5</v>
      </c>
      <c r="E167" s="22">
        <v>0.99739999999999995</v>
      </c>
      <c r="F167" s="23">
        <v>136.5</v>
      </c>
      <c r="G167" s="24">
        <f t="shared" si="60"/>
        <v>-684.2791257268899</v>
      </c>
      <c r="H167" s="92">
        <v>102.35</v>
      </c>
      <c r="I167" s="26">
        <v>0</v>
      </c>
      <c r="J167" s="22">
        <f>C169</f>
        <v>0.99641291351135908</v>
      </c>
      <c r="K167" s="24">
        <f t="shared" si="61"/>
        <v>513.59230000000002</v>
      </c>
      <c r="L167" s="35">
        <f t="shared" si="62"/>
        <v>0.24944035161904757</v>
      </c>
      <c r="M167" s="28">
        <f t="shared" si="63"/>
        <v>170.68682572688988</v>
      </c>
      <c r="N167" s="19"/>
      <c r="O167" s="19"/>
      <c r="P167" s="19" t="s">
        <v>162</v>
      </c>
    </row>
    <row r="168" spans="1:16" x14ac:dyDescent="0.2">
      <c r="A168" s="2" t="s">
        <v>284</v>
      </c>
      <c r="B168" s="3"/>
      <c r="C168" s="3"/>
      <c r="D168" s="98"/>
      <c r="E168" s="99" t="s">
        <v>285</v>
      </c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</row>
    <row r="169" spans="1:16" x14ac:dyDescent="0.2">
      <c r="A169" s="20" t="s">
        <v>286</v>
      </c>
      <c r="B169" s="20" t="s">
        <v>287</v>
      </c>
      <c r="C169" s="100">
        <f>'[1]auto data'!D3</f>
        <v>0.99641291351135908</v>
      </c>
      <c r="D169" s="20"/>
      <c r="E169" s="101" t="s">
        <v>288</v>
      </c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3"/>
    </row>
    <row r="170" spans="1:16" x14ac:dyDescent="0.2">
      <c r="A170" s="20" t="s">
        <v>289</v>
      </c>
      <c r="B170" s="20" t="s">
        <v>290</v>
      </c>
      <c r="C170" s="100">
        <f>'[1]auto data'!D4</f>
        <v>1.3430029546065001</v>
      </c>
      <c r="D170" s="20"/>
      <c r="E170" s="104" t="s">
        <v>291</v>
      </c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6"/>
    </row>
    <row r="171" spans="1:16" x14ac:dyDescent="0.2">
      <c r="A171" s="20" t="s">
        <v>292</v>
      </c>
      <c r="B171" s="20" t="s">
        <v>293</v>
      </c>
      <c r="C171" s="100">
        <f>'[1]auto data'!D5</f>
        <v>1.5410695022345506</v>
      </c>
      <c r="D171" s="20"/>
      <c r="E171" s="107" t="s">
        <v>294</v>
      </c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9"/>
    </row>
    <row r="172" spans="1:16" x14ac:dyDescent="0.2">
      <c r="A172" s="20" t="s">
        <v>295</v>
      </c>
      <c r="B172" s="20" t="s">
        <v>296</v>
      </c>
      <c r="C172" s="100">
        <f>'[1]auto data'!D6</f>
        <v>0.87596355991590757</v>
      </c>
      <c r="D172" s="20"/>
      <c r="E172" s="110" t="s">
        <v>297</v>
      </c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</row>
    <row r="173" spans="1:16" x14ac:dyDescent="0.2">
      <c r="A173" s="20"/>
      <c r="B173" s="20"/>
      <c r="C173" s="100"/>
      <c r="D173" s="20"/>
      <c r="E173" s="111" t="s">
        <v>298</v>
      </c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</row>
    <row r="174" spans="1:16" x14ac:dyDescent="0.2">
      <c r="A174" s="83" t="s">
        <v>299</v>
      </c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5"/>
    </row>
    <row r="175" spans="1:16" x14ac:dyDescent="0.2">
      <c r="A175" s="19" t="s">
        <v>300</v>
      </c>
      <c r="B175" s="19"/>
      <c r="C175" s="19"/>
      <c r="D175" s="19"/>
      <c r="E175" s="112">
        <f>SUM(G2:G143)</f>
        <v>55832.135471169757</v>
      </c>
      <c r="F175" s="20"/>
      <c r="G175" s="113" t="s">
        <v>301</v>
      </c>
      <c r="H175" s="113"/>
      <c r="I175" s="113"/>
      <c r="J175" s="113"/>
      <c r="K175" s="114">
        <f>SUM(K2:K143)+M163+M164+M165</f>
        <v>56765.506423712934</v>
      </c>
      <c r="L175" s="20"/>
      <c r="M175" s="115" t="s">
        <v>302</v>
      </c>
      <c r="N175" s="116"/>
      <c r="O175" s="117"/>
      <c r="P175" s="118">
        <f>P176+M102+M98+M73+M59+M46+M25+M2+M82</f>
        <v>56910.722208599269</v>
      </c>
    </row>
    <row r="176" spans="1:16" x14ac:dyDescent="0.2">
      <c r="A176" s="19" t="s">
        <v>303</v>
      </c>
      <c r="B176" s="19"/>
      <c r="C176" s="19"/>
      <c r="D176" s="19"/>
      <c r="E176" s="112">
        <v>25000</v>
      </c>
      <c r="F176" s="20"/>
      <c r="G176" s="119" t="s">
        <v>304</v>
      </c>
      <c r="H176" s="120"/>
      <c r="I176" s="120"/>
      <c r="J176" s="121"/>
      <c r="K176" s="122">
        <f>K175-E175</f>
        <v>933.37095254317683</v>
      </c>
      <c r="L176" s="20"/>
      <c r="M176" s="115" t="s">
        <v>305</v>
      </c>
      <c r="N176" s="116"/>
      <c r="O176" s="117"/>
      <c r="P176" s="123">
        <f>E177-E175</f>
        <v>2785.6873607612579</v>
      </c>
    </row>
    <row r="177" spans="1:16" x14ac:dyDescent="0.2">
      <c r="A177" s="19" t="s">
        <v>306</v>
      </c>
      <c r="B177" s="19"/>
      <c r="C177" s="19"/>
      <c r="D177" s="19"/>
      <c r="E177" s="112">
        <f>E176+K177</f>
        <v>58617.822831931015</v>
      </c>
      <c r="F177" s="20"/>
      <c r="G177" s="113" t="s">
        <v>307</v>
      </c>
      <c r="H177" s="113"/>
      <c r="I177" s="113"/>
      <c r="J177" s="113"/>
      <c r="K177" s="114">
        <f>SUM(K145:K159)+M161+M162+M166+M167</f>
        <v>33617.822831931015</v>
      </c>
      <c r="L177" s="37"/>
      <c r="M177" s="115" t="s">
        <v>308</v>
      </c>
      <c r="N177" s="116"/>
      <c r="O177" s="117"/>
      <c r="P177" s="124">
        <f>P176/P175</f>
        <v>4.894837479922786E-2</v>
      </c>
    </row>
    <row r="178" spans="1:16" x14ac:dyDescent="0.2">
      <c r="A178" s="125" t="s">
        <v>309</v>
      </c>
      <c r="B178" s="19"/>
      <c r="C178" s="19"/>
      <c r="D178" s="19"/>
      <c r="E178" s="112">
        <f>E177+K178+K177</f>
        <v>92236.922092750377</v>
      </c>
      <c r="F178" s="20"/>
      <c r="G178" s="113" t="s">
        <v>310</v>
      </c>
      <c r="H178" s="113"/>
      <c r="I178" s="113"/>
      <c r="J178" s="113"/>
      <c r="K178" s="126">
        <f>(P175/E176)-1</f>
        <v>1.2764288883439709</v>
      </c>
      <c r="L178" s="37"/>
      <c r="M178" s="127" t="s">
        <v>311</v>
      </c>
      <c r="N178" s="128"/>
      <c r="O178" s="129"/>
      <c r="P178" s="130">
        <f>P102+P98+P82+P73+P59+P46+P25+P2+P177</f>
        <v>0.99148768872494197</v>
      </c>
    </row>
    <row r="179" spans="1:16" x14ac:dyDescent="0.2">
      <c r="A179" s="83" t="s">
        <v>312</v>
      </c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5"/>
    </row>
    <row r="180" spans="1:16" x14ac:dyDescent="0.2">
      <c r="A180" s="13" t="s">
        <v>313</v>
      </c>
      <c r="B180" s="13" t="s">
        <v>3</v>
      </c>
      <c r="C180" s="13" t="s">
        <v>314</v>
      </c>
      <c r="D180" s="13" t="s">
        <v>5</v>
      </c>
      <c r="E180" s="15" t="s">
        <v>315</v>
      </c>
      <c r="F180" s="13" t="s">
        <v>316</v>
      </c>
      <c r="G180" s="13" t="s">
        <v>317</v>
      </c>
      <c r="H180" s="17" t="s">
        <v>318</v>
      </c>
      <c r="I180" s="17" t="s">
        <v>319</v>
      </c>
      <c r="J180" s="127" t="s">
        <v>320</v>
      </c>
      <c r="K180" s="127" t="s">
        <v>321</v>
      </c>
      <c r="L180" s="128"/>
      <c r="M180" s="128"/>
      <c r="N180" s="128"/>
      <c r="O180" s="128"/>
      <c r="P180" s="129"/>
    </row>
    <row r="181" spans="1:16" x14ac:dyDescent="0.2">
      <c r="A181" s="20" t="s">
        <v>322</v>
      </c>
      <c r="B181" s="20" t="s">
        <v>323</v>
      </c>
      <c r="C181" s="131"/>
      <c r="D181" s="20">
        <v>30</v>
      </c>
      <c r="E181" s="22">
        <f>C172</f>
        <v>0.87596355991590757</v>
      </c>
      <c r="F181" s="132">
        <f>'[1]auto data'!W7</f>
        <v>3376.5</v>
      </c>
      <c r="G181" s="24">
        <f>(F181/100)/E181*D181</f>
        <v>1156.38372</v>
      </c>
      <c r="H181" s="133">
        <v>2000</v>
      </c>
      <c r="I181" s="68" t="s">
        <v>324</v>
      </c>
      <c r="J181" s="22" t="s">
        <v>325</v>
      </c>
      <c r="K181" s="134" t="s">
        <v>326</v>
      </c>
      <c r="L181" s="135"/>
      <c r="M181" s="135"/>
      <c r="N181" s="135"/>
      <c r="O181" s="135"/>
      <c r="P181" s="136"/>
    </row>
    <row r="182" spans="1:16" x14ac:dyDescent="0.2">
      <c r="A182" s="20" t="s">
        <v>327</v>
      </c>
      <c r="B182" s="20" t="s">
        <v>328</v>
      </c>
      <c r="C182" s="131"/>
      <c r="D182" s="20">
        <v>100</v>
      </c>
      <c r="E182" s="22">
        <f>C169</f>
        <v>0.99641291351135908</v>
      </c>
      <c r="F182" s="77">
        <f>'[1]auto data'!W9</f>
        <v>3.16</v>
      </c>
      <c r="G182" s="24">
        <f t="shared" ref="G182:G191" si="64">(F182/E182)*D182</f>
        <v>317.13760000000002</v>
      </c>
      <c r="H182" s="137">
        <v>2.5</v>
      </c>
      <c r="I182" s="68" t="s">
        <v>329</v>
      </c>
      <c r="J182" s="22" t="s">
        <v>325</v>
      </c>
      <c r="K182" s="134" t="s">
        <v>330</v>
      </c>
      <c r="L182" s="135"/>
      <c r="M182" s="135"/>
      <c r="N182" s="135"/>
      <c r="O182" s="135"/>
      <c r="P182" s="136"/>
    </row>
    <row r="183" spans="1:16" x14ac:dyDescent="0.2">
      <c r="A183" s="20" t="s">
        <v>331</v>
      </c>
      <c r="B183" s="20" t="s">
        <v>332</v>
      </c>
      <c r="C183" s="131"/>
      <c r="D183" s="20">
        <v>10</v>
      </c>
      <c r="E183" s="22">
        <f>C169</f>
        <v>0.99641291351135908</v>
      </c>
      <c r="F183" s="77">
        <f>'[1]auto data'!W8</f>
        <v>40.99</v>
      </c>
      <c r="G183" s="24">
        <f t="shared" si="64"/>
        <v>411.37564000000003</v>
      </c>
      <c r="H183" s="137">
        <v>40</v>
      </c>
      <c r="I183" s="68" t="s">
        <v>329</v>
      </c>
      <c r="J183" s="22" t="s">
        <v>325</v>
      </c>
      <c r="K183" s="134" t="s">
        <v>330</v>
      </c>
      <c r="L183" s="135"/>
      <c r="M183" s="135"/>
      <c r="N183" s="135"/>
      <c r="O183" s="135"/>
      <c r="P183" s="136"/>
    </row>
    <row r="184" spans="1:16" x14ac:dyDescent="0.2">
      <c r="A184" s="20" t="s">
        <v>333</v>
      </c>
      <c r="B184" s="20" t="s">
        <v>334</v>
      </c>
      <c r="C184" s="131"/>
      <c r="D184" s="20">
        <v>50</v>
      </c>
      <c r="E184" s="22">
        <f>C171</f>
        <v>1.5410695022345506</v>
      </c>
      <c r="F184" s="77">
        <f>'[1]auto data'!W12</f>
        <v>15.87</v>
      </c>
      <c r="G184" s="24">
        <f t="shared" si="64"/>
        <v>514.90215000000001</v>
      </c>
      <c r="H184" s="137">
        <v>11.5</v>
      </c>
      <c r="I184" s="68" t="s">
        <v>335</v>
      </c>
      <c r="J184" s="22" t="s">
        <v>325</v>
      </c>
      <c r="K184" s="134" t="s">
        <v>336</v>
      </c>
      <c r="L184" s="135"/>
      <c r="M184" s="135"/>
      <c r="N184" s="135"/>
      <c r="O184" s="135"/>
      <c r="P184" s="136"/>
    </row>
    <row r="185" spans="1:16" x14ac:dyDescent="0.2">
      <c r="A185" s="20" t="s">
        <v>337</v>
      </c>
      <c r="B185" s="20" t="s">
        <v>338</v>
      </c>
      <c r="C185" s="131" t="s">
        <v>339</v>
      </c>
      <c r="D185" s="20">
        <v>100</v>
      </c>
      <c r="E185" s="22">
        <f>C170</f>
        <v>1.3430029546065001</v>
      </c>
      <c r="F185" s="77">
        <f>'[1]auto data'!W13</f>
        <v>2.57</v>
      </c>
      <c r="G185" s="24">
        <f t="shared" si="64"/>
        <v>191.3622</v>
      </c>
      <c r="H185" s="137">
        <v>0.3</v>
      </c>
      <c r="I185" s="68" t="s">
        <v>340</v>
      </c>
      <c r="J185" s="22" t="s">
        <v>325</v>
      </c>
      <c r="K185" s="134" t="s">
        <v>341</v>
      </c>
      <c r="L185" s="135"/>
      <c r="M185" s="135"/>
      <c r="N185" s="135"/>
      <c r="O185" s="135"/>
      <c r="P185" s="136"/>
    </row>
    <row r="186" spans="1:16" x14ac:dyDescent="0.2">
      <c r="A186" s="20" t="s">
        <v>342</v>
      </c>
      <c r="B186" s="20" t="s">
        <v>343</v>
      </c>
      <c r="C186" s="131"/>
      <c r="D186" s="20">
        <v>1000</v>
      </c>
      <c r="E186" s="22">
        <f>C170</f>
        <v>1.3430029546065001</v>
      </c>
      <c r="F186" s="77">
        <f>'[1]auto data'!W14</f>
        <v>0.4</v>
      </c>
      <c r="G186" s="24">
        <f t="shared" si="64"/>
        <v>297.84000000000003</v>
      </c>
      <c r="H186" s="137">
        <v>0.4</v>
      </c>
      <c r="I186" s="68" t="s">
        <v>340</v>
      </c>
      <c r="J186" s="22" t="s">
        <v>344</v>
      </c>
      <c r="K186" s="134" t="s">
        <v>341</v>
      </c>
      <c r="L186" s="135"/>
      <c r="M186" s="135"/>
      <c r="N186" s="135"/>
      <c r="O186" s="135"/>
      <c r="P186" s="136"/>
    </row>
    <row r="187" spans="1:16" x14ac:dyDescent="0.2">
      <c r="A187" s="20" t="s">
        <v>345</v>
      </c>
      <c r="B187" s="20" t="s">
        <v>346</v>
      </c>
      <c r="C187" s="131"/>
      <c r="D187" s="20">
        <v>400</v>
      </c>
      <c r="E187" s="22">
        <f>C170</f>
        <v>1.3430029546065001</v>
      </c>
      <c r="F187" s="77">
        <f>'[1]auto data'!W15</f>
        <v>1.095</v>
      </c>
      <c r="G187" s="24">
        <f t="shared" si="64"/>
        <v>326.13479999999998</v>
      </c>
      <c r="H187" s="137">
        <v>0.75</v>
      </c>
      <c r="I187" s="68" t="s">
        <v>335</v>
      </c>
      <c r="J187" s="22" t="s">
        <v>344</v>
      </c>
      <c r="K187" s="134" t="s">
        <v>347</v>
      </c>
      <c r="L187" s="135"/>
      <c r="M187" s="135"/>
      <c r="N187" s="135"/>
      <c r="O187" s="135"/>
      <c r="P187" s="136"/>
    </row>
    <row r="188" spans="1:16" x14ac:dyDescent="0.2">
      <c r="A188" s="20" t="s">
        <v>348</v>
      </c>
      <c r="B188" s="20" t="s">
        <v>349</v>
      </c>
      <c r="C188" s="131"/>
      <c r="D188" s="20">
        <v>24</v>
      </c>
      <c r="E188" s="22">
        <f>C169</f>
        <v>0.99641291351135908</v>
      </c>
      <c r="F188" s="77">
        <f>'[1]auto data'!W16</f>
        <v>6.1</v>
      </c>
      <c r="G188" s="24">
        <f t="shared" si="64"/>
        <v>146.92703999999998</v>
      </c>
      <c r="H188" s="137">
        <v>4</v>
      </c>
      <c r="I188" s="68" t="s">
        <v>329</v>
      </c>
      <c r="J188" s="22" t="s">
        <v>344</v>
      </c>
      <c r="K188" s="134" t="s">
        <v>347</v>
      </c>
      <c r="L188" s="135"/>
      <c r="M188" s="135"/>
      <c r="N188" s="135"/>
      <c r="O188" s="135"/>
      <c r="P188" s="136"/>
    </row>
    <row r="189" spans="1:16" x14ac:dyDescent="0.2">
      <c r="A189" s="20" t="s">
        <v>350</v>
      </c>
      <c r="B189" s="20" t="s">
        <v>240</v>
      </c>
      <c r="C189" s="131"/>
      <c r="D189" s="20">
        <v>20</v>
      </c>
      <c r="E189" s="22">
        <f>C172</f>
        <v>0.87596355991590757</v>
      </c>
      <c r="F189" s="77">
        <f>'[1]auto data'!W17</f>
        <v>5</v>
      </c>
      <c r="G189" s="24">
        <f t="shared" si="64"/>
        <v>114.15999999999998</v>
      </c>
      <c r="H189" s="137">
        <v>3</v>
      </c>
      <c r="I189" s="68" t="s">
        <v>324</v>
      </c>
      <c r="J189" s="22" t="s">
        <v>344</v>
      </c>
      <c r="K189" s="134" t="s">
        <v>347</v>
      </c>
      <c r="L189" s="135"/>
      <c r="M189" s="135"/>
      <c r="N189" s="135"/>
      <c r="O189" s="135"/>
      <c r="P189" s="136"/>
    </row>
    <row r="190" spans="1:16" x14ac:dyDescent="0.2">
      <c r="A190" s="20" t="s">
        <v>351</v>
      </c>
      <c r="B190" s="20" t="s">
        <v>352</v>
      </c>
      <c r="C190" s="131"/>
      <c r="D190" s="20">
        <v>1000</v>
      </c>
      <c r="E190" s="22">
        <f>C169</f>
        <v>0.99641291351135908</v>
      </c>
      <c r="F190" s="77">
        <f>'[1]auto data'!J40</f>
        <v>0.1925</v>
      </c>
      <c r="G190" s="24">
        <f t="shared" si="64"/>
        <v>193.19300000000001</v>
      </c>
      <c r="H190" s="137">
        <v>0.15</v>
      </c>
      <c r="I190" s="68" t="s">
        <v>353</v>
      </c>
      <c r="J190" s="22" t="s">
        <v>344</v>
      </c>
      <c r="K190" s="134" t="s">
        <v>347</v>
      </c>
      <c r="L190" s="135"/>
      <c r="M190" s="135"/>
      <c r="N190" s="135"/>
      <c r="O190" s="135"/>
      <c r="P190" s="136"/>
    </row>
    <row r="191" spans="1:16" x14ac:dyDescent="0.2">
      <c r="A191" s="20" t="s">
        <v>354</v>
      </c>
      <c r="B191" s="20" t="s">
        <v>355</v>
      </c>
      <c r="C191" s="131"/>
      <c r="D191" s="20">
        <v>60</v>
      </c>
      <c r="E191" s="22">
        <f>C169</f>
        <v>0.99641291351135908</v>
      </c>
      <c r="F191" s="77">
        <f>'[1]auto data'!G13</f>
        <v>19.420000000000002</v>
      </c>
      <c r="G191" s="24">
        <f t="shared" si="64"/>
        <v>1169.3947200000002</v>
      </c>
      <c r="H191" s="137">
        <v>18</v>
      </c>
      <c r="I191" s="68" t="s">
        <v>329</v>
      </c>
      <c r="J191" s="22" t="s">
        <v>344</v>
      </c>
      <c r="K191" s="134"/>
      <c r="L191" s="135"/>
      <c r="M191" s="135"/>
      <c r="N191" s="135"/>
      <c r="O191" s="135"/>
      <c r="P191" s="136"/>
    </row>
    <row r="192" spans="1:16" x14ac:dyDescent="0.2">
      <c r="D192" s="138"/>
      <c r="E192" s="138"/>
      <c r="F192" s="138"/>
      <c r="G192" s="138"/>
      <c r="H192" s="138"/>
      <c r="I192" s="138"/>
      <c r="J192" s="138"/>
      <c r="K192" s="138"/>
      <c r="L192" s="138"/>
      <c r="M192" s="139"/>
      <c r="N192" s="140"/>
      <c r="O192" s="141"/>
      <c r="P192" s="139"/>
    </row>
  </sheetData>
  <mergeCells count="38">
    <mergeCell ref="E172:P172"/>
    <mergeCell ref="E173:P173"/>
    <mergeCell ref="G175:J175"/>
    <mergeCell ref="G176:J176"/>
    <mergeCell ref="G177:J177"/>
    <mergeCell ref="G178:J178"/>
    <mergeCell ref="N159:P159"/>
    <mergeCell ref="A168:C168"/>
    <mergeCell ref="E168:P168"/>
    <mergeCell ref="E169:P169"/>
    <mergeCell ref="E170:P170"/>
    <mergeCell ref="E171:P171"/>
    <mergeCell ref="M83:O83"/>
    <mergeCell ref="A98:F98"/>
    <mergeCell ref="G98:K98"/>
    <mergeCell ref="M98:O98"/>
    <mergeCell ref="A102:F102"/>
    <mergeCell ref="G102:K102"/>
    <mergeCell ref="M102:O102"/>
    <mergeCell ref="A73:F73"/>
    <mergeCell ref="G73:K73"/>
    <mergeCell ref="M73:O73"/>
    <mergeCell ref="A82:F82"/>
    <mergeCell ref="G82:K82"/>
    <mergeCell ref="M82:O82"/>
    <mergeCell ref="A46:F46"/>
    <mergeCell ref="G46:K46"/>
    <mergeCell ref="M46:O46"/>
    <mergeCell ref="A59:F59"/>
    <mergeCell ref="G59:K59"/>
    <mergeCell ref="M59:O59"/>
    <mergeCell ref="A1:P1"/>
    <mergeCell ref="A2:F2"/>
    <mergeCell ref="G2:K2"/>
    <mergeCell ref="M2:O2"/>
    <mergeCell ref="A25:F25"/>
    <mergeCell ref="G25:K25"/>
    <mergeCell ref="M25:O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2022-11-06T07:50:15Z</dcterms:created>
  <dcterms:modified xsi:type="dcterms:W3CDTF">2022-11-06T07:51:17Z</dcterms:modified>
</cp:coreProperties>
</file>