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3"/>
  <workbookPr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8_{E8E1A2A0-EDA1-B44A-B5A9-A1E0E6AF82EF}" xr6:coauthVersionLast="47" xr6:coauthVersionMax="47" xr10:uidLastSave="{00000000-0000-0000-0000-000000000000}"/>
  <bookViews>
    <workbookView xWindow="480" yWindow="1000" windowWidth="25040" windowHeight="14420" xr2:uid="{28C555E0-C510-5F40-A9B5-C593A12C1A9B}"/>
  </bookViews>
  <sheets>
    <sheet name="Blad1" sheetId="1" r:id="rId1"/>
  </sheets>
  <externalReferences>
    <externalReference r:id="rId2"/>
  </externalReferenc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4" i="1" l="1"/>
  <c r="F173" i="1"/>
  <c r="F172" i="1"/>
  <c r="E172" i="1"/>
  <c r="F171" i="1"/>
  <c r="F170" i="1"/>
  <c r="F169" i="1"/>
  <c r="G169" i="1" s="1"/>
  <c r="E169" i="1"/>
  <c r="F168" i="1"/>
  <c r="G168" i="1" s="1"/>
  <c r="E168" i="1"/>
  <c r="F167" i="1"/>
  <c r="F166" i="1"/>
  <c r="F165" i="1"/>
  <c r="C157" i="1"/>
  <c r="E173" i="1" s="1"/>
  <c r="C156" i="1"/>
  <c r="C155" i="1"/>
  <c r="E171" i="1" s="1"/>
  <c r="G171" i="1" s="1"/>
  <c r="C154" i="1"/>
  <c r="K152" i="1"/>
  <c r="J152" i="1"/>
  <c r="G152" i="1"/>
  <c r="M152" i="1" s="1"/>
  <c r="L152" i="1" s="1"/>
  <c r="K151" i="1"/>
  <c r="J151" i="1"/>
  <c r="G151" i="1"/>
  <c r="K135" i="1"/>
  <c r="L135" i="1" s="1"/>
  <c r="J135" i="1"/>
  <c r="H135" i="1"/>
  <c r="G135" i="1"/>
  <c r="L134" i="1"/>
  <c r="K134" i="1"/>
  <c r="J134" i="1"/>
  <c r="H134" i="1"/>
  <c r="G134" i="1"/>
  <c r="J133" i="1"/>
  <c r="H133" i="1"/>
  <c r="G133" i="1"/>
  <c r="K132" i="1"/>
  <c r="L132" i="1" s="1"/>
  <c r="J132" i="1"/>
  <c r="H132" i="1"/>
  <c r="G132" i="1"/>
  <c r="J131" i="1"/>
  <c r="G131" i="1"/>
  <c r="G130" i="1"/>
  <c r="J129" i="1"/>
  <c r="H129" i="1"/>
  <c r="G129" i="1"/>
  <c r="K128" i="1"/>
  <c r="L128" i="1" s="1"/>
  <c r="J128" i="1"/>
  <c r="H128" i="1"/>
  <c r="G128" i="1"/>
  <c r="K127" i="1"/>
  <c r="J127" i="1"/>
  <c r="H127" i="1"/>
  <c r="G127" i="1"/>
  <c r="L127" i="1" s="1"/>
  <c r="H126" i="1"/>
  <c r="G126" i="1"/>
  <c r="J125" i="1"/>
  <c r="H125" i="1"/>
  <c r="K125" i="1" s="1"/>
  <c r="L125" i="1" s="1"/>
  <c r="G125" i="1"/>
  <c r="J124" i="1"/>
  <c r="H124" i="1"/>
  <c r="K124" i="1" s="1"/>
  <c r="L124" i="1" s="1"/>
  <c r="G124" i="1"/>
  <c r="J123" i="1"/>
  <c r="K123" i="1" s="1"/>
  <c r="L123" i="1" s="1"/>
  <c r="H123" i="1"/>
  <c r="G123" i="1"/>
  <c r="H122" i="1"/>
  <c r="G122" i="1"/>
  <c r="J121" i="1"/>
  <c r="H121" i="1"/>
  <c r="G121" i="1"/>
  <c r="J120" i="1"/>
  <c r="H120" i="1"/>
  <c r="K120" i="1" s="1"/>
  <c r="L120" i="1" s="1"/>
  <c r="G120" i="1"/>
  <c r="K119" i="1"/>
  <c r="L119" i="1" s="1"/>
  <c r="J119" i="1"/>
  <c r="G119" i="1"/>
  <c r="H118" i="1"/>
  <c r="H119" i="1" s="1"/>
  <c r="G118" i="1"/>
  <c r="J117" i="1"/>
  <c r="H117" i="1"/>
  <c r="G117" i="1"/>
  <c r="J116" i="1"/>
  <c r="H116" i="1"/>
  <c r="K116" i="1" s="1"/>
  <c r="L116" i="1" s="1"/>
  <c r="G116" i="1"/>
  <c r="K115" i="1"/>
  <c r="L115" i="1" s="1"/>
  <c r="J115" i="1"/>
  <c r="H115" i="1"/>
  <c r="G115" i="1"/>
  <c r="L114" i="1"/>
  <c r="K114" i="1"/>
  <c r="H114" i="1"/>
  <c r="G114" i="1"/>
  <c r="G113" i="1"/>
  <c r="G112" i="1"/>
  <c r="J111" i="1"/>
  <c r="H111" i="1"/>
  <c r="G111" i="1"/>
  <c r="J110" i="1"/>
  <c r="H110" i="1"/>
  <c r="K110" i="1" s="1"/>
  <c r="L110" i="1" s="1"/>
  <c r="G110" i="1"/>
  <c r="G109" i="1"/>
  <c r="K108" i="1"/>
  <c r="L108" i="1" s="1"/>
  <c r="J108" i="1"/>
  <c r="H108" i="1"/>
  <c r="G108" i="1"/>
  <c r="H107" i="1"/>
  <c r="G107" i="1"/>
  <c r="J106" i="1"/>
  <c r="I106" i="1"/>
  <c r="H106" i="1"/>
  <c r="G106" i="1"/>
  <c r="J105" i="1"/>
  <c r="G105" i="1"/>
  <c r="I104" i="1"/>
  <c r="H104" i="1"/>
  <c r="H105" i="1" s="1"/>
  <c r="K105" i="1" s="1"/>
  <c r="L105" i="1" s="1"/>
  <c r="G104" i="1"/>
  <c r="J103" i="1"/>
  <c r="I103" i="1"/>
  <c r="K103" i="1" s="1"/>
  <c r="L103" i="1" s="1"/>
  <c r="H103" i="1"/>
  <c r="G103" i="1"/>
  <c r="G102" i="1"/>
  <c r="J101" i="1"/>
  <c r="H101" i="1"/>
  <c r="G101" i="1"/>
  <c r="M99" i="1"/>
  <c r="L99" i="1"/>
  <c r="I99" i="1"/>
  <c r="K99" i="1" s="1"/>
  <c r="M97" i="1" s="1"/>
  <c r="G99" i="1"/>
  <c r="L95" i="1"/>
  <c r="K95" i="1"/>
  <c r="J95" i="1"/>
  <c r="G95" i="1"/>
  <c r="L94" i="1"/>
  <c r="K94" i="1"/>
  <c r="J94" i="1"/>
  <c r="G94" i="1"/>
  <c r="L93" i="1"/>
  <c r="K93" i="1"/>
  <c r="J93" i="1"/>
  <c r="G93" i="1"/>
  <c r="L92" i="1"/>
  <c r="K92" i="1"/>
  <c r="J92" i="1"/>
  <c r="G92" i="1"/>
  <c r="L91" i="1"/>
  <c r="K91" i="1"/>
  <c r="J91" i="1"/>
  <c r="G91" i="1"/>
  <c r="L90" i="1"/>
  <c r="K90" i="1"/>
  <c r="J90" i="1"/>
  <c r="G90" i="1"/>
  <c r="L89" i="1"/>
  <c r="K89" i="1"/>
  <c r="J89" i="1"/>
  <c r="G89" i="1"/>
  <c r="K88" i="1"/>
  <c r="J88" i="1"/>
  <c r="J87" i="1"/>
  <c r="K87" i="1" s="1"/>
  <c r="L87" i="1" s="1"/>
  <c r="G87" i="1"/>
  <c r="J86" i="1"/>
  <c r="K86" i="1" s="1"/>
  <c r="G86" i="1"/>
  <c r="L86" i="1" s="1"/>
  <c r="L85" i="1"/>
  <c r="J85" i="1"/>
  <c r="K85" i="1" s="1"/>
  <c r="G85" i="1"/>
  <c r="L84" i="1"/>
  <c r="J84" i="1"/>
  <c r="K84" i="1" s="1"/>
  <c r="G84" i="1"/>
  <c r="J83" i="1"/>
  <c r="K83" i="1" s="1"/>
  <c r="M81" i="1" s="1"/>
  <c r="G83" i="1"/>
  <c r="O80" i="1"/>
  <c r="P80" i="1" s="1"/>
  <c r="J80" i="1"/>
  <c r="H80" i="1"/>
  <c r="K80" i="1" s="1"/>
  <c r="G80" i="1"/>
  <c r="P79" i="1"/>
  <c r="O79" i="1"/>
  <c r="M79" i="1"/>
  <c r="K79" i="1"/>
  <c r="L79" i="1" s="1"/>
  <c r="J79" i="1"/>
  <c r="H79" i="1"/>
  <c r="G79" i="1"/>
  <c r="P78" i="1"/>
  <c r="O78" i="1"/>
  <c r="K78" i="1"/>
  <c r="L78" i="1" s="1"/>
  <c r="J78" i="1"/>
  <c r="H78" i="1"/>
  <c r="G78" i="1"/>
  <c r="P77" i="1"/>
  <c r="O77" i="1"/>
  <c r="J77" i="1"/>
  <c r="H77" i="1"/>
  <c r="K77" i="1" s="1"/>
  <c r="G77" i="1"/>
  <c r="O76" i="1"/>
  <c r="P76" i="1" s="1"/>
  <c r="J76" i="1"/>
  <c r="H76" i="1"/>
  <c r="K76" i="1" s="1"/>
  <c r="G76" i="1"/>
  <c r="P75" i="1"/>
  <c r="O75" i="1"/>
  <c r="M75" i="1"/>
  <c r="K75" i="1"/>
  <c r="L75" i="1" s="1"/>
  <c r="J75" i="1"/>
  <c r="H75" i="1"/>
  <c r="G75" i="1"/>
  <c r="P74" i="1"/>
  <c r="O74" i="1"/>
  <c r="K74" i="1"/>
  <c r="L74" i="1" s="1"/>
  <c r="J74" i="1"/>
  <c r="H74" i="1"/>
  <c r="G74" i="1"/>
  <c r="P71" i="1"/>
  <c r="O71" i="1"/>
  <c r="H71" i="1"/>
  <c r="G71" i="1"/>
  <c r="P70" i="1"/>
  <c r="O70" i="1"/>
  <c r="H70" i="1"/>
  <c r="G70" i="1"/>
  <c r="P69" i="1"/>
  <c r="O69" i="1"/>
  <c r="H69" i="1"/>
  <c r="G69" i="1"/>
  <c r="P68" i="1"/>
  <c r="O68" i="1"/>
  <c r="H68" i="1"/>
  <c r="G68" i="1"/>
  <c r="P67" i="1"/>
  <c r="O67" i="1"/>
  <c r="H67" i="1"/>
  <c r="G67" i="1"/>
  <c r="P66" i="1"/>
  <c r="O66" i="1"/>
  <c r="H66" i="1"/>
  <c r="G66" i="1"/>
  <c r="P65" i="1"/>
  <c r="O65" i="1"/>
  <c r="H65" i="1"/>
  <c r="G65" i="1"/>
  <c r="P64" i="1"/>
  <c r="O64" i="1"/>
  <c r="G64" i="1"/>
  <c r="P63" i="1"/>
  <c r="O63" i="1"/>
  <c r="K63" i="1"/>
  <c r="M63" i="1" s="1"/>
  <c r="J63" i="1"/>
  <c r="H63" i="1"/>
  <c r="G63" i="1"/>
  <c r="P62" i="1"/>
  <c r="O62" i="1"/>
  <c r="J62" i="1"/>
  <c r="K62" i="1" s="1"/>
  <c r="H62" i="1"/>
  <c r="G62" i="1"/>
  <c r="O61" i="1"/>
  <c r="P61" i="1" s="1"/>
  <c r="K61" i="1"/>
  <c r="J61" i="1"/>
  <c r="H61" i="1"/>
  <c r="G61" i="1"/>
  <c r="P60" i="1"/>
  <c r="O60" i="1"/>
  <c r="J60" i="1"/>
  <c r="K60" i="1" s="1"/>
  <c r="H60" i="1"/>
  <c r="G60" i="1"/>
  <c r="O59" i="1"/>
  <c r="P59" i="1" s="1"/>
  <c r="K59" i="1"/>
  <c r="M59" i="1" s="1"/>
  <c r="J59" i="1"/>
  <c r="H59" i="1"/>
  <c r="G59" i="1"/>
  <c r="P58" i="1"/>
  <c r="O58" i="1"/>
  <c r="J58" i="1"/>
  <c r="K58" i="1" s="1"/>
  <c r="H58" i="1"/>
  <c r="G58" i="1"/>
  <c r="O55" i="1"/>
  <c r="P55" i="1" s="1"/>
  <c r="J55" i="1"/>
  <c r="H55" i="1"/>
  <c r="G55" i="1"/>
  <c r="J54" i="1"/>
  <c r="I54" i="1"/>
  <c r="O54" i="1" s="1"/>
  <c r="P54" i="1" s="1"/>
  <c r="H54" i="1"/>
  <c r="K54" i="1" s="1"/>
  <c r="L54" i="1" s="1"/>
  <c r="G54" i="1"/>
  <c r="J53" i="1"/>
  <c r="K53" i="1" s="1"/>
  <c r="M53" i="1" s="1"/>
  <c r="H53" i="1"/>
  <c r="G53" i="1"/>
  <c r="O52" i="1"/>
  <c r="P52" i="1" s="1"/>
  <c r="K52" i="1"/>
  <c r="M52" i="1" s="1"/>
  <c r="J52" i="1"/>
  <c r="H52" i="1"/>
  <c r="G52" i="1"/>
  <c r="P51" i="1"/>
  <c r="O51" i="1"/>
  <c r="J51" i="1"/>
  <c r="K51" i="1" s="1"/>
  <c r="H51" i="1"/>
  <c r="G51" i="1"/>
  <c r="O50" i="1"/>
  <c r="P50" i="1" s="1"/>
  <c r="K50" i="1"/>
  <c r="M50" i="1" s="1"/>
  <c r="J50" i="1"/>
  <c r="H50" i="1"/>
  <c r="G50" i="1"/>
  <c r="P49" i="1"/>
  <c r="O49" i="1"/>
  <c r="J49" i="1"/>
  <c r="I49" i="1"/>
  <c r="H49" i="1"/>
  <c r="K49" i="1" s="1"/>
  <c r="G49" i="1"/>
  <c r="I48" i="1"/>
  <c r="O48" i="1" s="1"/>
  <c r="P48" i="1" s="1"/>
  <c r="H48" i="1"/>
  <c r="K48" i="1" s="1"/>
  <c r="G48" i="1"/>
  <c r="I47" i="1"/>
  <c r="O47" i="1" s="1"/>
  <c r="P47" i="1" s="1"/>
  <c r="H47" i="1"/>
  <c r="G47" i="1"/>
  <c r="J46" i="1"/>
  <c r="I46" i="1"/>
  <c r="O46" i="1" s="1"/>
  <c r="P46" i="1" s="1"/>
  <c r="H46" i="1"/>
  <c r="G46" i="1"/>
  <c r="P43" i="1"/>
  <c r="O43" i="1"/>
  <c r="H43" i="1"/>
  <c r="G43" i="1"/>
  <c r="P42" i="1"/>
  <c r="O42" i="1"/>
  <c r="H42" i="1"/>
  <c r="G42" i="1"/>
  <c r="P41" i="1"/>
  <c r="O41" i="1"/>
  <c r="H41" i="1"/>
  <c r="G41" i="1"/>
  <c r="P40" i="1"/>
  <c r="O40" i="1"/>
  <c r="H40" i="1"/>
  <c r="G40" i="1"/>
  <c r="P39" i="1"/>
  <c r="O39" i="1"/>
  <c r="H39" i="1"/>
  <c r="G39" i="1"/>
  <c r="P38" i="1"/>
  <c r="O38" i="1"/>
  <c r="M38" i="1"/>
  <c r="J38" i="1"/>
  <c r="H38" i="1"/>
  <c r="K38" i="1" s="1"/>
  <c r="L38" i="1" s="1"/>
  <c r="G38" i="1"/>
  <c r="P37" i="1"/>
  <c r="O37" i="1"/>
  <c r="J37" i="1"/>
  <c r="H37" i="1"/>
  <c r="K37" i="1" s="1"/>
  <c r="L37" i="1" s="1"/>
  <c r="G37" i="1"/>
  <c r="P36" i="1"/>
  <c r="O36" i="1"/>
  <c r="M36" i="1"/>
  <c r="J36" i="1"/>
  <c r="H36" i="1"/>
  <c r="K36" i="1" s="1"/>
  <c r="L36" i="1" s="1"/>
  <c r="G36" i="1"/>
  <c r="P35" i="1"/>
  <c r="O35" i="1"/>
  <c r="J35" i="1"/>
  <c r="H35" i="1"/>
  <c r="K35" i="1" s="1"/>
  <c r="L35" i="1" s="1"/>
  <c r="G35" i="1"/>
  <c r="P34" i="1"/>
  <c r="O34" i="1"/>
  <c r="M34" i="1"/>
  <c r="J34" i="1"/>
  <c r="H34" i="1"/>
  <c r="K34" i="1" s="1"/>
  <c r="L34" i="1" s="1"/>
  <c r="G34" i="1"/>
  <c r="P33" i="1"/>
  <c r="O33" i="1"/>
  <c r="J33" i="1"/>
  <c r="H33" i="1"/>
  <c r="K33" i="1" s="1"/>
  <c r="L33" i="1" s="1"/>
  <c r="G33" i="1"/>
  <c r="J32" i="1"/>
  <c r="H32" i="1"/>
  <c r="P31" i="1"/>
  <c r="O31" i="1"/>
  <c r="J31" i="1"/>
  <c r="H31" i="1"/>
  <c r="K31" i="1" s="1"/>
  <c r="L31" i="1" s="1"/>
  <c r="G31" i="1"/>
  <c r="P30" i="1"/>
  <c r="O30" i="1"/>
  <c r="M30" i="1"/>
  <c r="J30" i="1"/>
  <c r="H30" i="1"/>
  <c r="K30" i="1" s="1"/>
  <c r="L30" i="1" s="1"/>
  <c r="G30" i="1"/>
  <c r="P29" i="1"/>
  <c r="O29" i="1"/>
  <c r="J29" i="1"/>
  <c r="H29" i="1"/>
  <c r="K29" i="1" s="1"/>
  <c r="L29" i="1" s="1"/>
  <c r="G29" i="1"/>
  <c r="P28" i="1"/>
  <c r="O28" i="1"/>
  <c r="M28" i="1"/>
  <c r="J28" i="1"/>
  <c r="H28" i="1"/>
  <c r="K28" i="1" s="1"/>
  <c r="L28" i="1" s="1"/>
  <c r="G28" i="1"/>
  <c r="P27" i="1"/>
  <c r="O27" i="1"/>
  <c r="J27" i="1"/>
  <c r="H27" i="1"/>
  <c r="K27" i="1" s="1"/>
  <c r="L27" i="1" s="1"/>
  <c r="G27" i="1"/>
  <c r="P26" i="1"/>
  <c r="O26" i="1"/>
  <c r="M26" i="1"/>
  <c r="J26" i="1"/>
  <c r="H26" i="1"/>
  <c r="K26" i="1" s="1"/>
  <c r="L26" i="1" s="1"/>
  <c r="G26" i="1"/>
  <c r="P25" i="1"/>
  <c r="O25" i="1"/>
  <c r="J25" i="1"/>
  <c r="H25" i="1"/>
  <c r="K25" i="1" s="1"/>
  <c r="M25" i="1" s="1"/>
  <c r="G25" i="1"/>
  <c r="P22" i="1"/>
  <c r="O22" i="1"/>
  <c r="K22" i="1"/>
  <c r="J22" i="1"/>
  <c r="H22" i="1"/>
  <c r="G22" i="1"/>
  <c r="P21" i="1"/>
  <c r="O21" i="1"/>
  <c r="J21" i="1"/>
  <c r="G21" i="1"/>
  <c r="J20" i="1"/>
  <c r="I20" i="1"/>
  <c r="O20" i="1" s="1"/>
  <c r="P20" i="1" s="1"/>
  <c r="G20" i="1"/>
  <c r="O19" i="1"/>
  <c r="P19" i="1" s="1"/>
  <c r="J19" i="1"/>
  <c r="I19" i="1"/>
  <c r="H19" i="1"/>
  <c r="G19" i="1"/>
  <c r="J18" i="1"/>
  <c r="I18" i="1"/>
  <c r="O18" i="1" s="1"/>
  <c r="P18" i="1" s="1"/>
  <c r="H18" i="1"/>
  <c r="G18" i="1"/>
  <c r="O17" i="1"/>
  <c r="P17" i="1" s="1"/>
  <c r="J17" i="1"/>
  <c r="H17" i="1"/>
  <c r="G17" i="1"/>
  <c r="O16" i="1"/>
  <c r="P16" i="1" s="1"/>
  <c r="J16" i="1"/>
  <c r="G16" i="1"/>
  <c r="O15" i="1"/>
  <c r="P15" i="1" s="1"/>
  <c r="J15" i="1"/>
  <c r="H15" i="1"/>
  <c r="H16" i="1" s="1"/>
  <c r="G15" i="1"/>
  <c r="O14" i="1"/>
  <c r="P14" i="1" s="1"/>
  <c r="J14" i="1"/>
  <c r="I14" i="1"/>
  <c r="H14" i="1"/>
  <c r="G14" i="1"/>
  <c r="P13" i="1"/>
  <c r="O13" i="1"/>
  <c r="K13" i="1"/>
  <c r="J13" i="1"/>
  <c r="H13" i="1"/>
  <c r="G13" i="1"/>
  <c r="P12" i="1"/>
  <c r="O12" i="1"/>
  <c r="K12" i="1"/>
  <c r="J12" i="1"/>
  <c r="H12" i="1"/>
  <c r="G12" i="1"/>
  <c r="P11" i="1"/>
  <c r="O11" i="1"/>
  <c r="K11" i="1"/>
  <c r="J11" i="1"/>
  <c r="H11" i="1"/>
  <c r="G11" i="1"/>
  <c r="P10" i="1"/>
  <c r="O10" i="1"/>
  <c r="K10" i="1"/>
  <c r="J10" i="1"/>
  <c r="H10" i="1"/>
  <c r="G10" i="1"/>
  <c r="P9" i="1"/>
  <c r="O9" i="1"/>
  <c r="K9" i="1"/>
  <c r="J9" i="1"/>
  <c r="H9" i="1"/>
  <c r="G9" i="1"/>
  <c r="K8" i="1"/>
  <c r="J8" i="1"/>
  <c r="I8" i="1"/>
  <c r="O8" i="1" s="1"/>
  <c r="P8" i="1" s="1"/>
  <c r="H8" i="1"/>
  <c r="G8" i="1"/>
  <c r="O7" i="1"/>
  <c r="P7" i="1" s="1"/>
  <c r="J7" i="1"/>
  <c r="G7" i="1"/>
  <c r="O6" i="1"/>
  <c r="P6" i="1" s="1"/>
  <c r="J6" i="1"/>
  <c r="G6" i="1"/>
  <c r="J5" i="1"/>
  <c r="H5" i="1"/>
  <c r="G5" i="1"/>
  <c r="J4" i="1"/>
  <c r="I4" i="1"/>
  <c r="H4" i="1"/>
  <c r="K4" i="1" s="1"/>
  <c r="M4" i="1" s="1"/>
  <c r="G4" i="1"/>
  <c r="A1" i="1"/>
  <c r="I5" i="1" l="1"/>
  <c r="O5" i="1" s="1"/>
  <c r="P5" i="1" s="1"/>
  <c r="O4" i="1"/>
  <c r="P4" i="1" s="1"/>
  <c r="K5" i="1"/>
  <c r="H6" i="1"/>
  <c r="M9" i="1"/>
  <c r="L9" i="1"/>
  <c r="M11" i="1"/>
  <c r="L11" i="1"/>
  <c r="M13" i="1"/>
  <c r="L13" i="1"/>
  <c r="K14" i="1"/>
  <c r="K17" i="1"/>
  <c r="K18" i="1"/>
  <c r="K32" i="1"/>
  <c r="M32" i="1" s="1"/>
  <c r="K41" i="1"/>
  <c r="M48" i="1"/>
  <c r="L48" i="1"/>
  <c r="M58" i="1"/>
  <c r="L58" i="1"/>
  <c r="M62" i="1"/>
  <c r="L62" i="1"/>
  <c r="L80" i="1"/>
  <c r="M80" i="1"/>
  <c r="K16" i="1"/>
  <c r="K19" i="1"/>
  <c r="H20" i="1"/>
  <c r="M27" i="1"/>
  <c r="M29" i="1"/>
  <c r="M31" i="1"/>
  <c r="M33" i="1"/>
  <c r="M35" i="1"/>
  <c r="M37" i="1"/>
  <c r="K47" i="1"/>
  <c r="E159" i="1"/>
  <c r="M10" i="1"/>
  <c r="L10" i="1"/>
  <c r="M12" i="1"/>
  <c r="L12" i="1"/>
  <c r="M60" i="1"/>
  <c r="L60" i="1"/>
  <c r="L76" i="1"/>
  <c r="M76" i="1"/>
  <c r="L77" i="1"/>
  <c r="M77" i="1"/>
  <c r="K126" i="1"/>
  <c r="L126" i="1" s="1"/>
  <c r="L4" i="1"/>
  <c r="M8" i="1"/>
  <c r="L8" i="1"/>
  <c r="M22" i="1"/>
  <c r="L22" i="1"/>
  <c r="L25" i="1"/>
  <c r="M49" i="1"/>
  <c r="L49" i="1"/>
  <c r="M51" i="1"/>
  <c r="L51" i="1"/>
  <c r="M54" i="1"/>
  <c r="K15" i="1"/>
  <c r="K46" i="1"/>
  <c r="L50" i="1"/>
  <c r="L59" i="1"/>
  <c r="L63" i="1"/>
  <c r="M74" i="1"/>
  <c r="M78" i="1"/>
  <c r="L83" i="1"/>
  <c r="K106" i="1"/>
  <c r="L106" i="1" s="1"/>
  <c r="K129" i="1"/>
  <c r="L129" i="1" s="1"/>
  <c r="H130" i="1"/>
  <c r="K133" i="1"/>
  <c r="L133" i="1" s="1"/>
  <c r="G172" i="1"/>
  <c r="M61" i="1"/>
  <c r="K104" i="1"/>
  <c r="L104" i="1" s="1"/>
  <c r="M151" i="1"/>
  <c r="E174" i="1"/>
  <c r="E166" i="1"/>
  <c r="G166" i="1" s="1"/>
  <c r="J130" i="1"/>
  <c r="J118" i="1"/>
  <c r="K118" i="1" s="1"/>
  <c r="L118" i="1" s="1"/>
  <c r="J107" i="1"/>
  <c r="K107" i="1" s="1"/>
  <c r="L107" i="1" s="1"/>
  <c r="J104" i="1"/>
  <c r="J102" i="1"/>
  <c r="J71" i="1"/>
  <c r="K71" i="1" s="1"/>
  <c r="J69" i="1"/>
  <c r="K69" i="1" s="1"/>
  <c r="J47" i="1"/>
  <c r="E165" i="1"/>
  <c r="G165" i="1" s="1"/>
  <c r="G173" i="1"/>
  <c r="L52" i="1"/>
  <c r="K55" i="1"/>
  <c r="L61" i="1"/>
  <c r="M72" i="1"/>
  <c r="K101" i="1"/>
  <c r="H102" i="1"/>
  <c r="H109" i="1"/>
  <c r="K109" i="1" s="1"/>
  <c r="L109" i="1" s="1"/>
  <c r="K111" i="1"/>
  <c r="L111" i="1" s="1"/>
  <c r="H112" i="1"/>
  <c r="K117" i="1"/>
  <c r="L117" i="1" s="1"/>
  <c r="K121" i="1"/>
  <c r="L121" i="1" s="1"/>
  <c r="E170" i="1"/>
  <c r="G170" i="1" s="1"/>
  <c r="J126" i="1"/>
  <c r="J122" i="1"/>
  <c r="K122" i="1" s="1"/>
  <c r="L122" i="1" s="1"/>
  <c r="J113" i="1"/>
  <c r="K113" i="1" s="1"/>
  <c r="L113" i="1" s="1"/>
  <c r="J112" i="1"/>
  <c r="J70" i="1"/>
  <c r="K70" i="1" s="1"/>
  <c r="J68" i="1"/>
  <c r="K68" i="1" s="1"/>
  <c r="J67" i="1"/>
  <c r="K67" i="1" s="1"/>
  <c r="J66" i="1"/>
  <c r="K66" i="1" s="1"/>
  <c r="J65" i="1"/>
  <c r="K65" i="1" s="1"/>
  <c r="J64" i="1"/>
  <c r="K64" i="1" s="1"/>
  <c r="J43" i="1"/>
  <c r="K43" i="1" s="1"/>
  <c r="J42" i="1"/>
  <c r="K42" i="1" s="1"/>
  <c r="J41" i="1"/>
  <c r="J40" i="1"/>
  <c r="K40" i="1" s="1"/>
  <c r="J39" i="1"/>
  <c r="K39" i="1" s="1"/>
  <c r="E167" i="1"/>
  <c r="G167" i="1" s="1"/>
  <c r="G174" i="1"/>
  <c r="M39" i="1" l="1"/>
  <c r="L39" i="1"/>
  <c r="M23" i="1"/>
  <c r="M43" i="1"/>
  <c r="L43" i="1"/>
  <c r="M68" i="1"/>
  <c r="L68" i="1"/>
  <c r="M2" i="1"/>
  <c r="L66" i="1"/>
  <c r="M66" i="1"/>
  <c r="M17" i="1"/>
  <c r="L17" i="1"/>
  <c r="K6" i="1"/>
  <c r="H7" i="1"/>
  <c r="K7" i="1" s="1"/>
  <c r="L67" i="1"/>
  <c r="M67" i="1"/>
  <c r="M41" i="1"/>
  <c r="L41" i="1"/>
  <c r="K102" i="1"/>
  <c r="L102" i="1" s="1"/>
  <c r="M44" i="1"/>
  <c r="L46" i="1"/>
  <c r="M46" i="1"/>
  <c r="M16" i="1"/>
  <c r="L16" i="1"/>
  <c r="L42" i="1"/>
  <c r="M42" i="1"/>
  <c r="L71" i="1"/>
  <c r="M71" i="1"/>
  <c r="K161" i="1"/>
  <c r="E161" i="1" s="1"/>
  <c r="L151" i="1"/>
  <c r="L47" i="1"/>
  <c r="M47" i="1"/>
  <c r="H21" i="1"/>
  <c r="K21" i="1" s="1"/>
  <c r="K20" i="1"/>
  <c r="M56" i="1"/>
  <c r="H131" i="1"/>
  <c r="K131" i="1" s="1"/>
  <c r="L131" i="1" s="1"/>
  <c r="K130" i="1"/>
  <c r="L130" i="1" s="1"/>
  <c r="M19" i="1"/>
  <c r="L19" i="1"/>
  <c r="M14" i="1"/>
  <c r="L14" i="1"/>
  <c r="M5" i="1"/>
  <c r="L5" i="1"/>
  <c r="M40" i="1"/>
  <c r="L40" i="1"/>
  <c r="M64" i="1"/>
  <c r="L64" i="1"/>
  <c r="M55" i="1"/>
  <c r="L55" i="1"/>
  <c r="M65" i="1"/>
  <c r="L65" i="1"/>
  <c r="M70" i="1"/>
  <c r="L70" i="1"/>
  <c r="K112" i="1"/>
  <c r="L112" i="1" s="1"/>
  <c r="L101" i="1"/>
  <c r="M69" i="1"/>
  <c r="L69" i="1"/>
  <c r="M15" i="1"/>
  <c r="L15" i="1"/>
  <c r="L18" i="1"/>
  <c r="M18" i="1"/>
  <c r="M21" i="1" l="1"/>
  <c r="L21" i="1"/>
  <c r="P160" i="1"/>
  <c r="M7" i="1"/>
  <c r="L7" i="1"/>
  <c r="M20" i="1"/>
  <c r="L20" i="1"/>
  <c r="M100" i="1"/>
  <c r="M6" i="1"/>
  <c r="L6" i="1"/>
  <c r="K159" i="1"/>
  <c r="K160" i="1" s="1"/>
  <c r="P159" i="1" l="1"/>
  <c r="P161" i="1" s="1"/>
  <c r="P100" i="1"/>
  <c r="P162" i="1" l="1"/>
  <c r="K162" i="1"/>
  <c r="E162" i="1" s="1"/>
  <c r="P97" i="1" s="1"/>
  <c r="P81" i="1"/>
  <c r="P72" i="1"/>
  <c r="P2" i="1"/>
  <c r="P56" i="1"/>
  <c r="P44" i="1"/>
  <c r="P23" i="1"/>
</calcChain>
</file>

<file path=xl/sharedStrings.xml><?xml version="1.0" encoding="utf-8"?>
<sst xmlns="http://schemas.openxmlformats.org/spreadsheetml/2006/main" count="546" uniqueCount="337">
  <si>
    <t>Big/ Mid Tier Precious Metals Miners, Physical Metals &amp; Royalty's (10-15 open postions)</t>
  </si>
  <si>
    <t>Allocation</t>
  </si>
  <si>
    <t>Investment</t>
  </si>
  <si>
    <t>Ticker</t>
  </si>
  <si>
    <t>Buy date</t>
  </si>
  <si>
    <t>Shares</t>
  </si>
  <si>
    <t>exch. rate buy</t>
  </si>
  <si>
    <t>Buy price</t>
  </si>
  <si>
    <t>Euro spent</t>
  </si>
  <si>
    <t>Price now</t>
  </si>
  <si>
    <t>Dividends</t>
  </si>
  <si>
    <t>exch. Rate now</t>
  </si>
  <si>
    <t>Euro now</t>
  </si>
  <si>
    <t>Return%</t>
  </si>
  <si>
    <t>Return€</t>
  </si>
  <si>
    <t>high</t>
  </si>
  <si>
    <t>Stop</t>
  </si>
  <si>
    <t>S.S.I.</t>
  </si>
  <si>
    <t>1. Sandstorm Gold ltd</t>
  </si>
  <si>
    <t>SAND</t>
  </si>
  <si>
    <t>1a. Sandstorm Gold ltd</t>
  </si>
  <si>
    <t>1b. Sandstorm Gold ltd</t>
  </si>
  <si>
    <t>1e. Sandstorm Gold ltd</t>
  </si>
  <si>
    <t>2. Wheathon Precious Metals</t>
  </si>
  <si>
    <t>WPM</t>
  </si>
  <si>
    <t xml:space="preserve">4.VOX Royalty Corp </t>
  </si>
  <si>
    <t>VOX</t>
  </si>
  <si>
    <t>5. Silvercrest Metals Inc</t>
  </si>
  <si>
    <t>SILV</t>
  </si>
  <si>
    <t>6. Sprott Physical Silver Trust</t>
  </si>
  <si>
    <t>PSLV</t>
  </si>
  <si>
    <t>7. Sprott Physical Platina &amp; Pal Trust</t>
  </si>
  <si>
    <t>SPPP</t>
  </si>
  <si>
    <t>8. Empress Royalty Corp</t>
  </si>
  <si>
    <t>EMPR</t>
  </si>
  <si>
    <t>9. Gold Royalty Corp (+ ELY)</t>
  </si>
  <si>
    <t>GROY</t>
  </si>
  <si>
    <t>10. Metalla Royalty Corp</t>
  </si>
  <si>
    <t>MTA</t>
  </si>
  <si>
    <t>10a. Metalla Royalty Corp</t>
  </si>
  <si>
    <t>11. Endeavour Silver Corp</t>
  </si>
  <si>
    <t>EXK</t>
  </si>
  <si>
    <t>12. Sailfish Royalties Corp</t>
  </si>
  <si>
    <t>FISH</t>
  </si>
  <si>
    <t>13. Sibayne Stillwater Ltd</t>
  </si>
  <si>
    <t>SBSW</t>
  </si>
  <si>
    <t>13a. Sibayne Stillwater Ltd</t>
  </si>
  <si>
    <t>13b. Sibayne Stillwater Ltd</t>
  </si>
  <si>
    <t>14. First Majestic Silver</t>
  </si>
  <si>
    <t>AG</t>
  </si>
  <si>
    <t>Golden eggs Basket (15-20 open positions)</t>
  </si>
  <si>
    <t xml:space="preserve">1.Tudor Gold Corp </t>
  </si>
  <si>
    <t>TUD^</t>
  </si>
  <si>
    <t>7.Silver Viper Minerals</t>
  </si>
  <si>
    <t>VIPR</t>
  </si>
  <si>
    <t>12. Fortune Bay Corp</t>
  </si>
  <si>
    <t>FOR</t>
  </si>
  <si>
    <t>15. Reyna Silver Corp</t>
  </si>
  <si>
    <t>RSLV</t>
  </si>
  <si>
    <t>18. Ascot Resources</t>
  </si>
  <si>
    <t>AOT^</t>
  </si>
  <si>
    <t>20. Silver One Resources Inc</t>
  </si>
  <si>
    <t>SVE</t>
  </si>
  <si>
    <t>21. First Mining Gold Corp</t>
  </si>
  <si>
    <t>FF</t>
  </si>
  <si>
    <t>21 a. Treasure Metals Inc</t>
  </si>
  <si>
    <t>TML</t>
  </si>
  <si>
    <t>SPIN OUT</t>
  </si>
  <si>
    <t>22. NuLegacy Gold</t>
  </si>
  <si>
    <t>NUG</t>
  </si>
  <si>
    <t>23. Novo Resources</t>
  </si>
  <si>
    <t>NVO</t>
  </si>
  <si>
    <t>24. Firefox Gold Corp</t>
  </si>
  <si>
    <t>FFOX</t>
  </si>
  <si>
    <t xml:space="preserve">25. Blackrock Silver </t>
  </si>
  <si>
    <t>BRC</t>
  </si>
  <si>
    <t>26. Lion One Metals</t>
  </si>
  <si>
    <t>LIO</t>
  </si>
  <si>
    <t>27. Kuya Silver Corp</t>
  </si>
  <si>
    <t>KUYAF</t>
  </si>
  <si>
    <t>28. Eskay Mining</t>
  </si>
  <si>
    <t>ESK</t>
  </si>
  <si>
    <t>29. Cabral Gold</t>
  </si>
  <si>
    <t>CBR</t>
  </si>
  <si>
    <t>30. Discovery Silver Corp</t>
  </si>
  <si>
    <t>DSV</t>
  </si>
  <si>
    <t>31. Finlay Minerals Ltd</t>
  </si>
  <si>
    <t>FYL</t>
  </si>
  <si>
    <t>32. Cassair Gold</t>
  </si>
  <si>
    <t>GLDC</t>
  </si>
  <si>
    <t>Boring Dividend Income (10-15 open positions)</t>
  </si>
  <si>
    <t>1. Gamco Global G&amp;Nat res</t>
  </si>
  <si>
    <t>GGN</t>
  </si>
  <si>
    <t>3. Altria</t>
  </si>
  <si>
    <t>MO</t>
  </si>
  <si>
    <t>5. Royal Dutch Shell</t>
  </si>
  <si>
    <t>RDSA</t>
  </si>
  <si>
    <t>6. Icahn Enterprises LP</t>
  </si>
  <si>
    <t>IEP</t>
  </si>
  <si>
    <t>7. Vale</t>
  </si>
  <si>
    <t>VALE</t>
  </si>
  <si>
    <t>8. Rio Tinto</t>
  </si>
  <si>
    <t>RIO</t>
  </si>
  <si>
    <t>9. BHP Group</t>
  </si>
  <si>
    <t>BHP</t>
  </si>
  <si>
    <t>9a. Woodside Energy</t>
  </si>
  <si>
    <t>WDS</t>
  </si>
  <si>
    <t>MERGER</t>
  </si>
  <si>
    <t>10. Freehold Royalties Ltd</t>
  </si>
  <si>
    <t>FRU</t>
  </si>
  <si>
    <t>11. MPLX LP</t>
  </si>
  <si>
    <t>MPLX</t>
  </si>
  <si>
    <t>Uranium (10-15 open positions)</t>
  </si>
  <si>
    <t>10. Encore Energy Corp</t>
  </si>
  <si>
    <t>EU</t>
  </si>
  <si>
    <t>15. UEX Corporation</t>
  </si>
  <si>
    <t>UEX</t>
  </si>
  <si>
    <t>16. Fission Uranium Corp</t>
  </si>
  <si>
    <t>FCU</t>
  </si>
  <si>
    <t>17. Virginia Energy Resources</t>
  </si>
  <si>
    <t>VUI</t>
  </si>
  <si>
    <t>18. Deep Yellow Ltd</t>
  </si>
  <si>
    <t>DYL</t>
  </si>
  <si>
    <t>19. Consolidated Uranium</t>
  </si>
  <si>
    <t>CUR</t>
  </si>
  <si>
    <t>19a. Labrador Uranium Inc</t>
  </si>
  <si>
    <t>LUR</t>
  </si>
  <si>
    <t>20. Mega Uranium Ltd</t>
  </si>
  <si>
    <t>MGA</t>
  </si>
  <si>
    <t>21. Western Uranium &amp; Vanadium</t>
  </si>
  <si>
    <t>WSTRF</t>
  </si>
  <si>
    <t>22. GoviEx Uranium Ltd</t>
  </si>
  <si>
    <t>GXU</t>
  </si>
  <si>
    <t>23. Laramide Resources Ltd</t>
  </si>
  <si>
    <t>LAM</t>
  </si>
  <si>
    <t>8b. Energy Fuels</t>
  </si>
  <si>
    <t>UUUU</t>
  </si>
  <si>
    <t>3b. Uranium Royalty Corp</t>
  </si>
  <si>
    <t>URC</t>
  </si>
  <si>
    <t>5b. Uranium Energy Corp</t>
  </si>
  <si>
    <t>UEC</t>
  </si>
  <si>
    <t>EV-metals &amp; Base Metals (5-10 open positions)</t>
  </si>
  <si>
    <t>6. Nova Royalty Corp</t>
  </si>
  <si>
    <t>NOVR</t>
  </si>
  <si>
    <t>7. Electric Royalties Ltd</t>
  </si>
  <si>
    <t>ELEC</t>
  </si>
  <si>
    <t>9. Brixton Metals</t>
  </si>
  <si>
    <t>BBB</t>
  </si>
  <si>
    <t>10. Atalaya Mining</t>
  </si>
  <si>
    <t>ATYM</t>
  </si>
  <si>
    <t>11. Trilogy Metals</t>
  </si>
  <si>
    <t>TMQ</t>
  </si>
  <si>
    <t>12. Altius Minerals</t>
  </si>
  <si>
    <t>ALS</t>
  </si>
  <si>
    <t>13. Bell Copper</t>
  </si>
  <si>
    <t>BCU</t>
  </si>
  <si>
    <t>Opties</t>
  </si>
  <si>
    <t>Put/Call/Warrant</t>
  </si>
  <si>
    <t>profit</t>
  </si>
  <si>
    <t>O/C</t>
  </si>
  <si>
    <t>geschreven Put 2022jan $10</t>
  </si>
  <si>
    <t>closed</t>
  </si>
  <si>
    <t>geschreven Put 2023jan $7</t>
  </si>
  <si>
    <t>geschreven Put 2023jan $5</t>
  </si>
  <si>
    <t>geschreven Put 2022feb $10</t>
  </si>
  <si>
    <t xml:space="preserve">Call 2021dec  $20 </t>
  </si>
  <si>
    <t>VIX</t>
  </si>
  <si>
    <t>warrant: 07aug2023 1,5 call</t>
  </si>
  <si>
    <t>warrant:15sep2025 11,5  call</t>
  </si>
  <si>
    <t>EVGOW</t>
  </si>
  <si>
    <t>FGS</t>
  </si>
  <si>
    <t>warrant:06may2026 11,5  call</t>
  </si>
  <si>
    <t>LEVW</t>
  </si>
  <si>
    <t>NVVEW</t>
  </si>
  <si>
    <t>SAND20240119 put 7</t>
  </si>
  <si>
    <t>UEC20240119 put 3</t>
  </si>
  <si>
    <t>UUUU20240119 put 5</t>
  </si>
  <si>
    <t>AG20240119 put 8</t>
  </si>
  <si>
    <t>Crypto's box, max 10-15 open  positions</t>
  </si>
  <si>
    <t xml:space="preserve">32a. Crypto.com </t>
  </si>
  <si>
    <t>CRO</t>
  </si>
  <si>
    <t>Free Growth Stocks (FGS) &amp; Free stocks (FS)</t>
  </si>
  <si>
    <t>6. First Majestic Silver</t>
  </si>
  <si>
    <t>precious</t>
  </si>
  <si>
    <t>6a. First Majestic Silver</t>
  </si>
  <si>
    <t>3a</t>
  </si>
  <si>
    <t>8. Franco Nevada</t>
  </si>
  <si>
    <t>FNV</t>
  </si>
  <si>
    <t>9. Sandstorm Gold</t>
  </si>
  <si>
    <t>9a. Sandstorm Gold</t>
  </si>
  <si>
    <t>6a</t>
  </si>
  <si>
    <t>10. Metella Royalty &amp; Streaming Ltd</t>
  </si>
  <si>
    <t>12.Coeur Mining Inc</t>
  </si>
  <si>
    <t>CDE</t>
  </si>
  <si>
    <t>15. Defiance Silver Corp</t>
  </si>
  <si>
    <t>DEF</t>
  </si>
  <si>
    <t>basket</t>
  </si>
  <si>
    <t>19. First Majestic Silver</t>
  </si>
  <si>
    <t>Precious</t>
  </si>
  <si>
    <t>23. Nexgen Energy</t>
  </si>
  <si>
    <t>NXE^</t>
  </si>
  <si>
    <t xml:space="preserve">bullet </t>
  </si>
  <si>
    <t>24. Uranium Royalty Corp</t>
  </si>
  <si>
    <t>URC^</t>
  </si>
  <si>
    <t>24a. Uranium Royalty Corp</t>
  </si>
  <si>
    <t>2a</t>
  </si>
  <si>
    <t>24b. Uranium Royalty Corp</t>
  </si>
  <si>
    <t>2b</t>
  </si>
  <si>
    <t>26. Ur-Energy Inc</t>
  </si>
  <si>
    <t>URG</t>
  </si>
  <si>
    <t>26a Ur-Energy Inc</t>
  </si>
  <si>
    <t>27. Ivanhoe Mines</t>
  </si>
  <si>
    <t>IVN</t>
  </si>
  <si>
    <t>battery</t>
  </si>
  <si>
    <t>28. Uranium Energy Corp</t>
  </si>
  <si>
    <t>28a. Uranium Energy Corp</t>
  </si>
  <si>
    <t>4a</t>
  </si>
  <si>
    <t>28b. Uranium Energy Corp</t>
  </si>
  <si>
    <t>4b</t>
  </si>
  <si>
    <t>32. Atico Mining Corp</t>
  </si>
  <si>
    <t>ATY^</t>
  </si>
  <si>
    <t>34. Paladin Energy Ltd</t>
  </si>
  <si>
    <t>PDN</t>
  </si>
  <si>
    <t>35. IsoEnergy Ltd</t>
  </si>
  <si>
    <t>ISO^</t>
  </si>
  <si>
    <t>36. Peninsula Energy Inc</t>
  </si>
  <si>
    <t>PEN</t>
  </si>
  <si>
    <t>37. Bannerman Resources ltd</t>
  </si>
  <si>
    <t>BMN</t>
  </si>
  <si>
    <t>38. Anfield Energy Inc</t>
  </si>
  <si>
    <t>AEC</t>
  </si>
  <si>
    <t>40. Vizsla Silver Corp</t>
  </si>
  <si>
    <t>VZLA</t>
  </si>
  <si>
    <t>42. Global Atomic</t>
  </si>
  <si>
    <t>GLO</t>
  </si>
  <si>
    <t>42a. Global Atomic</t>
  </si>
  <si>
    <t>10a</t>
  </si>
  <si>
    <t>43. Energy Fuels</t>
  </si>
  <si>
    <t>43a. Energy Fuels</t>
  </si>
  <si>
    <t>11a</t>
  </si>
  <si>
    <t>43b. Energy Fuels</t>
  </si>
  <si>
    <t>11b</t>
  </si>
  <si>
    <t>44. Denison Mines Corp</t>
  </si>
  <si>
    <t>DNN</t>
  </si>
  <si>
    <t>44a. Denison Mines Corp</t>
  </si>
  <si>
    <t>12a</t>
  </si>
  <si>
    <t>45. Boss Energy Ltd</t>
  </si>
  <si>
    <t>BOE</t>
  </si>
  <si>
    <t>46. Karora Resources</t>
  </si>
  <si>
    <t>KRR</t>
  </si>
  <si>
    <t>Closed positions</t>
  </si>
  <si>
    <t>Results</t>
  </si>
  <si>
    <t>ticker</t>
  </si>
  <si>
    <t>date</t>
  </si>
  <si>
    <t>Resultaat 2018-20</t>
  </si>
  <si>
    <t>Resultaat 2021</t>
  </si>
  <si>
    <t>Resultaat Q1 2022</t>
  </si>
  <si>
    <t>Resultaat Q2 2022</t>
  </si>
  <si>
    <t>Short positions</t>
  </si>
  <si>
    <t>Sell date</t>
  </si>
  <si>
    <t>exch. rate sell</t>
  </si>
  <si>
    <t>Sell price</t>
  </si>
  <si>
    <t xml:space="preserve">Euro </t>
  </si>
  <si>
    <t>Amazon.com Inc</t>
  </si>
  <si>
    <t>AMZN</t>
  </si>
  <si>
    <t xml:space="preserve"> closed </t>
  </si>
  <si>
    <t>Tesla</t>
  </si>
  <si>
    <t>TSLA</t>
  </si>
  <si>
    <t>Currency rates</t>
  </si>
  <si>
    <t>Legenda kleurgebruik</t>
  </si>
  <si>
    <t>Amerikaanse dollar</t>
  </si>
  <si>
    <t>$</t>
  </si>
  <si>
    <t>Aandelen waarvan we 2x of 3x de gewenste hoeveelheid hebben gekocht, deze verkopen we weer bij een geringe winst</t>
  </si>
  <si>
    <t>Canadese dollar</t>
  </si>
  <si>
    <t>CAD</t>
  </si>
  <si>
    <t>Automatisch ge-update prijzen in het excelsheet</t>
  </si>
  <si>
    <t>Australische dollar</t>
  </si>
  <si>
    <t>AUD</t>
  </si>
  <si>
    <t>APY hoeveelheid (vergelijkbaar met dividend op aandelen) bij crypto's</t>
  </si>
  <si>
    <t>Engelse pond</t>
  </si>
  <si>
    <t>£</t>
  </si>
  <si>
    <t>Aandelen die op ons kooplijstje staan om de inkoopprijs te verlagen</t>
  </si>
  <si>
    <t>Total Finance</t>
  </si>
  <si>
    <t>CASH SPENT ON STOCKS</t>
  </si>
  <si>
    <t>PROFIT GENERATED/LOST ON STOCKS</t>
  </si>
  <si>
    <t>Capital now</t>
  </si>
  <si>
    <t>STARTCAPITAL 2020</t>
  </si>
  <si>
    <t>PROFIT/LOSS STOCKS IN PORTFOLIO</t>
  </si>
  <si>
    <t>CASH Allocation</t>
  </si>
  <si>
    <t>STARTCAPITAL 2020 + PROFIT STOCKS SOLD</t>
  </si>
  <si>
    <t>PROFIT/LOSS STOCKS SOLD</t>
  </si>
  <si>
    <t>CASH%</t>
  </si>
  <si>
    <t>STARTCAPITAL 2020 + PROFIT STOCKS SOLD+PROFIT PORTFOLIO</t>
  </si>
  <si>
    <t>TOTAL RENDEMENT 2018-21</t>
  </si>
  <si>
    <t>CHECK</t>
  </si>
  <si>
    <t>Watchlist</t>
  </si>
  <si>
    <t>Investment proposal</t>
  </si>
  <si>
    <t>Focus</t>
  </si>
  <si>
    <t>Rec. Exch rate</t>
  </si>
  <si>
    <t>Rec. Price</t>
  </si>
  <si>
    <t>Euro</t>
  </si>
  <si>
    <t>Target</t>
  </si>
  <si>
    <t>Beurs</t>
  </si>
  <si>
    <t>Buy or Sell</t>
  </si>
  <si>
    <t>Remarks &amp; Reason</t>
  </si>
  <si>
    <t>British Tabacco Ltd</t>
  </si>
  <si>
    <t>BATS</t>
  </si>
  <si>
    <t>LSE</t>
  </si>
  <si>
    <t>Buy</t>
  </si>
  <si>
    <t>Buy on a dip on overall market be patient/ Big dividends</t>
  </si>
  <si>
    <t>B2Gold Corporation</t>
  </si>
  <si>
    <t>BTG</t>
  </si>
  <si>
    <t>NYSE</t>
  </si>
  <si>
    <t>Buy on dip in gold/ gold dividend stock</t>
  </si>
  <si>
    <t>Newmont Corporation</t>
  </si>
  <si>
    <t>NEM</t>
  </si>
  <si>
    <t>Fortescue Metals</t>
  </si>
  <si>
    <t>FMG</t>
  </si>
  <si>
    <t>ASX</t>
  </si>
  <si>
    <t>Buy on dip in stock on 200 day SMA/ 23% dividend stock</t>
  </si>
  <si>
    <t>Snowline Gold Corp</t>
  </si>
  <si>
    <t>SGD</t>
  </si>
  <si>
    <t>*</t>
  </si>
  <si>
    <t>TSX</t>
  </si>
  <si>
    <t>Buy on recent dip in Gold</t>
  </si>
  <si>
    <t>Star Royalties Ltd</t>
  </si>
  <si>
    <t>STRR</t>
  </si>
  <si>
    <t>BUY</t>
  </si>
  <si>
    <t>Neo Metals</t>
  </si>
  <si>
    <t>NMT</t>
  </si>
  <si>
    <t xml:space="preserve">Buy on dip </t>
  </si>
  <si>
    <t>Largo resources</t>
  </si>
  <si>
    <t>LGO</t>
  </si>
  <si>
    <t>Bushveld Minerals</t>
  </si>
  <si>
    <t>Silver Hammer</t>
  </si>
  <si>
    <t>HAMRF</t>
  </si>
  <si>
    <t>OTC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</si>
</sst>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[$-F800]dddd\,\ mmmm\ dd\,\ yyyy"/>
    <numFmt numFmtId="165" formatCode="_([$€-2]\ * #,##0_);_([$€-2]\ * \(#,##0\);_([$€-2]\ * &quot;-&quot;??_);_(@_)"/>
    <numFmt numFmtId="166" formatCode="0.0%"/>
    <numFmt numFmtId="167" formatCode="0.0000"/>
    <numFmt numFmtId="168" formatCode="_(* #,##0.000_);_(* \(#,##0.000\);_(* &quot;-&quot;??_);_(@_)"/>
    <numFmt numFmtId="169" formatCode="0.000"/>
    <numFmt numFmtId="170" formatCode="_(* #,##0_);_(* \(#,##0\);_(* &quot;-&quot;??_);_(@_)"/>
    <numFmt numFmtId="171" formatCode="_([$€-2]\ * #,##0.00_);_([$€-2]\ * \(#,##0.00\);_([$€-2]\ * &quot;-&quot;??_);_(@_)"/>
    <numFmt numFmtId="172" formatCode="_(* #,##0.0000_);_(* \(#,##0.0000\);_(* &quot;-&quot;??_);_(@_)"/>
    <numFmt numFmtId="173" formatCode="_(&quot;€&quot;\ * #,##0_);_(&quot;€&quot;\ * \(#,##0\);_(&quot;€&quot;\ * &quot;-&quot;??_);_(@_)"/>
    <numFmt numFmtId="174" formatCode="_ [$€-413]\ * #,##0_ ;_ [$€-413]\ * \-#,##0_ ;_ [$€-413]\ * &quot;-&quot;??_ ;_ @_ 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164" fontId="2" fillId="2" borderId="1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165" fontId="4" fillId="3" borderId="2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6" fontId="3" fillId="3" borderId="1" xfId="3" applyNumberFormat="1" applyFont="1" applyFill="1" applyBorder="1"/>
    <xf numFmtId="165" fontId="3" fillId="3" borderId="2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9" fontId="3" fillId="3" borderId="1" xfId="3" applyFont="1" applyFill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/>
    <xf numFmtId="0" fontId="5" fillId="0" borderId="1" xfId="0" applyFont="1" applyBorder="1"/>
    <xf numFmtId="0" fontId="3" fillId="4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14" fontId="4" fillId="0" borderId="1" xfId="0" applyNumberFormat="1" applyFont="1" applyBorder="1"/>
    <xf numFmtId="167" fontId="4" fillId="0" borderId="1" xfId="0" applyNumberFormat="1" applyFont="1" applyBorder="1"/>
    <xf numFmtId="43" fontId="4" fillId="0" borderId="1" xfId="1" applyFont="1" applyBorder="1"/>
    <xf numFmtId="165" fontId="4" fillId="0" borderId="1" xfId="0" applyNumberFormat="1" applyFont="1" applyBorder="1"/>
    <xf numFmtId="2" fontId="6" fillId="4" borderId="5" xfId="0" applyNumberFormat="1" applyFont="1" applyFill="1" applyBorder="1"/>
    <xf numFmtId="2" fontId="4" fillId="0" borderId="1" xfId="0" applyNumberFormat="1" applyFont="1" applyBorder="1"/>
    <xf numFmtId="166" fontId="7" fillId="0" borderId="1" xfId="3" applyNumberFormat="1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left"/>
    </xf>
    <xf numFmtId="43" fontId="7" fillId="0" borderId="1" xfId="0" applyNumberFormat="1" applyFont="1" applyBorder="1" applyAlignment="1">
      <alignment horizontal="center"/>
    </xf>
    <xf numFmtId="0" fontId="4" fillId="5" borderId="1" xfId="0" applyFont="1" applyFill="1" applyBorder="1"/>
    <xf numFmtId="166" fontId="8" fillId="0" borderId="1" xfId="3" applyNumberFormat="1" applyFont="1" applyBorder="1"/>
    <xf numFmtId="43" fontId="8" fillId="0" borderId="1" xfId="0" applyNumberFormat="1" applyFont="1" applyBorder="1" applyAlignment="1">
      <alignment horizontal="center"/>
    </xf>
    <xf numFmtId="2" fontId="6" fillId="4" borderId="1" xfId="0" applyNumberFormat="1" applyFont="1" applyFill="1" applyBorder="1"/>
    <xf numFmtId="0" fontId="4" fillId="6" borderId="1" xfId="0" applyFont="1" applyFill="1" applyBorder="1"/>
    <xf numFmtId="1" fontId="4" fillId="0" borderId="1" xfId="0" applyNumberFormat="1" applyFont="1" applyBorder="1"/>
    <xf numFmtId="0" fontId="7" fillId="0" borderId="1" xfId="3" applyNumberFormat="1" applyFont="1" applyBorder="1"/>
    <xf numFmtId="168" fontId="4" fillId="0" borderId="1" xfId="1" applyNumberFormat="1" applyFont="1" applyBorder="1"/>
    <xf numFmtId="169" fontId="6" fillId="4" borderId="1" xfId="0" applyNumberFormat="1" applyFont="1" applyFill="1" applyBorder="1"/>
    <xf numFmtId="2" fontId="4" fillId="4" borderId="1" xfId="0" applyNumberFormat="1" applyFont="1" applyFill="1" applyBorder="1"/>
    <xf numFmtId="0" fontId="4" fillId="0" borderId="1" xfId="0" applyFont="1" applyBorder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1" fontId="3" fillId="3" borderId="2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43" fontId="4" fillId="4" borderId="1" xfId="1" applyFont="1" applyFill="1" applyBorder="1" applyAlignment="1">
      <alignment horizontal="right"/>
    </xf>
    <xf numFmtId="166" fontId="7" fillId="0" borderId="1" xfId="3" applyNumberFormat="1" applyFont="1" applyFill="1" applyBorder="1"/>
    <xf numFmtId="1" fontId="4" fillId="4" borderId="1" xfId="0" applyNumberFormat="1" applyFont="1" applyFill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70" fontId="4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6" fillId="4" borderId="1" xfId="0" applyNumberFormat="1" applyFont="1" applyFill="1" applyBorder="1"/>
    <xf numFmtId="0" fontId="4" fillId="0" borderId="4" xfId="0" applyFont="1" applyBorder="1" applyAlignment="1">
      <alignment horizontal="right"/>
    </xf>
    <xf numFmtId="2" fontId="4" fillId="3" borderId="2" xfId="0" applyNumberFormat="1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167" fontId="4" fillId="0" borderId="1" xfId="0" applyNumberFormat="1" applyFont="1" applyBorder="1" applyAlignment="1">
      <alignment horizontal="right"/>
    </xf>
    <xf numFmtId="167" fontId="4" fillId="7" borderId="1" xfId="0" applyNumberFormat="1" applyFont="1" applyFill="1" applyBorder="1"/>
    <xf numFmtId="0" fontId="6" fillId="0" borderId="1" xfId="0" applyFont="1" applyBorder="1"/>
    <xf numFmtId="14" fontId="6" fillId="0" borderId="1" xfId="0" applyNumberFormat="1" applyFont="1" applyBorder="1"/>
    <xf numFmtId="43" fontId="6" fillId="0" borderId="1" xfId="0" applyNumberFormat="1" applyFont="1" applyBorder="1"/>
    <xf numFmtId="171" fontId="9" fillId="0" borderId="1" xfId="0" applyNumberFormat="1" applyFont="1" applyBorder="1" applyAlignment="1">
      <alignment horizontal="center"/>
    </xf>
    <xf numFmtId="9" fontId="9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170" fontId="4" fillId="0" borderId="1" xfId="0" applyNumberFormat="1" applyFont="1" applyBorder="1"/>
    <xf numFmtId="172" fontId="4" fillId="0" borderId="1" xfId="0" applyNumberFormat="1" applyFont="1" applyBorder="1"/>
    <xf numFmtId="43" fontId="4" fillId="0" borderId="1" xfId="0" applyNumberFormat="1" applyFont="1" applyBorder="1"/>
    <xf numFmtId="165" fontId="4" fillId="0" borderId="1" xfId="2" applyNumberFormat="1" applyFont="1" applyBorder="1"/>
    <xf numFmtId="173" fontId="4" fillId="0" borderId="1" xfId="2" applyNumberFormat="1" applyFont="1" applyBorder="1"/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43" fontId="10" fillId="0" borderId="1" xfId="0" applyNumberFormat="1" applyFont="1" applyBorder="1" applyAlignment="1">
      <alignment horizontal="center"/>
    </xf>
    <xf numFmtId="43" fontId="4" fillId="0" borderId="1" xfId="1" applyFont="1" applyFill="1" applyBorder="1"/>
    <xf numFmtId="43" fontId="4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right"/>
    </xf>
    <xf numFmtId="0" fontId="4" fillId="0" borderId="2" xfId="0" applyFont="1" applyBorder="1"/>
    <xf numFmtId="0" fontId="4" fillId="0" borderId="4" xfId="0" applyFont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0" borderId="6" xfId="0" applyFont="1" applyBorder="1"/>
    <xf numFmtId="167" fontId="3" fillId="0" borderId="1" xfId="0" applyNumberFormat="1" applyFont="1" applyBorder="1"/>
    <xf numFmtId="43" fontId="3" fillId="0" borderId="1" xfId="1" applyFont="1" applyBorder="1"/>
    <xf numFmtId="165" fontId="3" fillId="0" borderId="1" xfId="0" applyNumberFormat="1" applyFont="1" applyBorder="1"/>
    <xf numFmtId="2" fontId="11" fillId="0" borderId="5" xfId="0" applyNumberFormat="1" applyFont="1" applyBorder="1"/>
    <xf numFmtId="166" fontId="4" fillId="0" borderId="1" xfId="3" applyNumberFormat="1" applyFont="1" applyBorder="1"/>
    <xf numFmtId="2" fontId="6" fillId="0" borderId="1" xfId="0" applyNumberFormat="1" applyFont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 applyAlignment="1">
      <alignment horizontal="left"/>
    </xf>
    <xf numFmtId="167" fontId="4" fillId="4" borderId="1" xfId="0" applyNumberFormat="1" applyFont="1" applyFill="1" applyBorder="1"/>
    <xf numFmtId="0" fontId="4" fillId="5" borderId="2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left"/>
    </xf>
    <xf numFmtId="0" fontId="4" fillId="9" borderId="3" xfId="0" applyFont="1" applyFill="1" applyBorder="1" applyAlignment="1">
      <alignment horizontal="left"/>
    </xf>
    <xf numFmtId="0" fontId="4" fillId="9" borderId="4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17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73" fontId="3" fillId="0" borderId="1" xfId="2" applyNumberFormat="1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7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74" fontId="3" fillId="0" borderId="1" xfId="0" applyNumberFormat="1" applyFont="1" applyBorder="1"/>
    <xf numFmtId="174" fontId="3" fillId="0" borderId="1" xfId="3" applyNumberFormat="1" applyFont="1" applyBorder="1" applyAlignment="1">
      <alignment horizontal="right"/>
    </xf>
    <xf numFmtId="9" fontId="3" fillId="0" borderId="1" xfId="3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166" fontId="3" fillId="0" borderId="1" xfId="3" applyNumberFormat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70" fontId="4" fillId="0" borderId="1" xfId="1" applyNumberFormat="1" applyFont="1" applyFill="1" applyBorder="1"/>
    <xf numFmtId="170" fontId="4" fillId="0" borderId="1" xfId="1" applyNumberFormat="1" applyFont="1" applyFill="1" applyBorder="1" applyAlignment="1">
      <alignment horizontal="right"/>
    </xf>
    <xf numFmtId="165" fontId="4" fillId="0" borderId="2" xfId="0" applyNumberFormat="1" applyFont="1" applyBorder="1" applyAlignment="1">
      <alignment horizontal="left"/>
    </xf>
    <xf numFmtId="165" fontId="4" fillId="0" borderId="3" xfId="0" applyNumberFormat="1" applyFont="1" applyBorder="1" applyAlignment="1">
      <alignment horizontal="left"/>
    </xf>
    <xf numFmtId="165" fontId="4" fillId="0" borderId="4" xfId="0" applyNumberFormat="1" applyFont="1" applyBorder="1" applyAlignment="1">
      <alignment horizontal="left"/>
    </xf>
    <xf numFmtId="43" fontId="4" fillId="0" borderId="1" xfId="1" applyFont="1" applyFill="1" applyBorder="1" applyAlignment="1">
      <alignment horizontal="right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08d4e1cd3418f22/Documenten/1.%20Tabellen%20voor%20nieuwsbri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 data"/>
      <sheetName val="crypto"/>
      <sheetName val="2021"/>
      <sheetName val="Copper plays"/>
      <sheetName val="Metals all"/>
      <sheetName val="Highscore List"/>
      <sheetName val="6B "/>
      <sheetName val="Top 10x"/>
      <sheetName val="Optie cal"/>
      <sheetName val="Crescat"/>
      <sheetName val="Formules"/>
      <sheetName val="Dividend"/>
      <sheetName val="Gouddichtheid"/>
      <sheetName val="Watchlist"/>
      <sheetName val="2020"/>
      <sheetName val="2019"/>
      <sheetName val="Opties"/>
      <sheetName val="SHORT"/>
      <sheetName val="Blad1"/>
      <sheetName val="Blad3"/>
      <sheetName val="2018"/>
      <sheetName val="Mijnen"/>
      <sheetName val="Blad2"/>
      <sheetName val="Stockpicking"/>
      <sheetName val="BEARMARKET SURVIVAL"/>
    </sheetNames>
    <sheetDataSet>
      <sheetData sheetId="0">
        <row r="3">
          <cell r="D3">
            <v>1.0185373803218578</v>
          </cell>
          <cell r="G3">
            <v>3.51</v>
          </cell>
          <cell r="J3">
            <v>0.40500000000000003</v>
          </cell>
          <cell r="M3">
            <v>3.19</v>
          </cell>
          <cell r="P3">
            <v>0.27500000000000002</v>
          </cell>
        </row>
        <row r="4">
          <cell r="D4">
            <v>1.3173494928204452</v>
          </cell>
          <cell r="M4">
            <v>1.1599999999999999</v>
          </cell>
          <cell r="P4">
            <v>1.71</v>
          </cell>
        </row>
        <row r="5">
          <cell r="D5">
            <v>1.4740566037735849</v>
          </cell>
          <cell r="G5">
            <v>44.1</v>
          </cell>
          <cell r="M5">
            <v>3.5</v>
          </cell>
          <cell r="P5">
            <v>0.28999999999999998</v>
          </cell>
        </row>
        <row r="6">
          <cell r="D6">
            <v>0.8437394532568343</v>
          </cell>
          <cell r="M6">
            <v>6.98</v>
          </cell>
          <cell r="P6">
            <v>0.78210000000000002</v>
          </cell>
          <cell r="S6">
            <v>8.0500000000000007</v>
          </cell>
        </row>
        <row r="7">
          <cell r="G7">
            <v>25.52</v>
          </cell>
          <cell r="J7">
            <v>5.84</v>
          </cell>
          <cell r="M7">
            <v>2.1</v>
          </cell>
          <cell r="W7">
            <v>3257</v>
          </cell>
        </row>
        <row r="8">
          <cell r="G8">
            <v>53.73</v>
          </cell>
          <cell r="J8">
            <v>33.729999999999997</v>
          </cell>
          <cell r="M8">
            <v>1.43</v>
          </cell>
          <cell r="P8">
            <v>17.899999999999999</v>
          </cell>
          <cell r="S8">
            <v>128.24</v>
          </cell>
          <cell r="W8">
            <v>44.77</v>
          </cell>
        </row>
        <row r="9">
          <cell r="G9">
            <v>21.44</v>
          </cell>
          <cell r="M9">
            <v>0.75</v>
          </cell>
          <cell r="P9">
            <v>0.28000000000000003</v>
          </cell>
          <cell r="S9">
            <v>5.84</v>
          </cell>
          <cell r="W9">
            <v>3.45</v>
          </cell>
        </row>
        <row r="10">
          <cell r="G10">
            <v>13.49</v>
          </cell>
          <cell r="J10">
            <v>2.8</v>
          </cell>
          <cell r="M10">
            <v>0.08</v>
          </cell>
          <cell r="S10">
            <v>4.9000000000000004</v>
          </cell>
          <cell r="W10">
            <v>54.4</v>
          </cell>
        </row>
        <row r="11">
          <cell r="G11">
            <v>30.15</v>
          </cell>
          <cell r="J11">
            <v>6.8</v>
          </cell>
          <cell r="M11">
            <v>0.36</v>
          </cell>
          <cell r="S11">
            <v>3.12</v>
          </cell>
          <cell r="W11">
            <v>60.69</v>
          </cell>
        </row>
        <row r="12">
          <cell r="J12">
            <v>0.32</v>
          </cell>
          <cell r="M12">
            <v>2.4500000000000002</v>
          </cell>
          <cell r="S12">
            <v>0.36499999999999999</v>
          </cell>
          <cell r="W12">
            <v>18.14</v>
          </cell>
        </row>
        <row r="13">
          <cell r="J13">
            <v>6.82</v>
          </cell>
          <cell r="M13">
            <v>0.48</v>
          </cell>
          <cell r="W13">
            <v>1.95</v>
          </cell>
        </row>
        <row r="14">
          <cell r="J14">
            <v>14.36</v>
          </cell>
          <cell r="M14">
            <v>0.78</v>
          </cell>
          <cell r="S14">
            <v>4.2300000000000004</v>
          </cell>
          <cell r="W14">
            <v>0.52</v>
          </cell>
        </row>
        <row r="15">
          <cell r="J15">
            <v>0.23</v>
          </cell>
          <cell r="M15">
            <v>1.99</v>
          </cell>
          <cell r="T15">
            <v>3.750783822948228</v>
          </cell>
          <cell r="W15">
            <v>1.29</v>
          </cell>
        </row>
        <row r="16">
          <cell r="J16">
            <v>2.92</v>
          </cell>
          <cell r="M16">
            <v>0.23499999999999999</v>
          </cell>
          <cell r="S16">
            <v>1.2</v>
          </cell>
          <cell r="W16">
            <v>7.23</v>
          </cell>
        </row>
        <row r="17">
          <cell r="J17">
            <v>0.24</v>
          </cell>
          <cell r="M17">
            <v>1.32</v>
          </cell>
          <cell r="S17">
            <v>8.06</v>
          </cell>
          <cell r="W17">
            <v>6.1</v>
          </cell>
        </row>
        <row r="18">
          <cell r="J18">
            <v>0.39</v>
          </cell>
          <cell r="M18">
            <v>0.28999999999999998</v>
          </cell>
          <cell r="S18">
            <v>4.26</v>
          </cell>
          <cell r="W18">
            <v>290</v>
          </cell>
        </row>
        <row r="19">
          <cell r="J19">
            <v>3.69</v>
          </cell>
          <cell r="M19">
            <v>0.495</v>
          </cell>
          <cell r="S19">
            <v>0.745</v>
          </cell>
          <cell r="W19">
            <v>0.14499999999999999</v>
          </cell>
        </row>
        <row r="20">
          <cell r="J20">
            <v>1.23</v>
          </cell>
          <cell r="S20">
            <v>0.185</v>
          </cell>
        </row>
        <row r="21">
          <cell r="J21">
            <v>10.210000000000001</v>
          </cell>
          <cell r="W21">
            <v>1.24</v>
          </cell>
        </row>
        <row r="23">
          <cell r="J23">
            <v>1.33</v>
          </cell>
        </row>
        <row r="24">
          <cell r="W24">
            <v>0.52</v>
          </cell>
        </row>
        <row r="25">
          <cell r="W25">
            <v>0.43</v>
          </cell>
        </row>
        <row r="26">
          <cell r="J26">
            <v>3.23</v>
          </cell>
        </row>
        <row r="27">
          <cell r="W27">
            <v>13.2</v>
          </cell>
        </row>
        <row r="28">
          <cell r="J28">
            <v>0.28000000000000003</v>
          </cell>
        </row>
        <row r="32">
          <cell r="J32">
            <v>0.42</v>
          </cell>
        </row>
        <row r="35">
          <cell r="J35">
            <v>0.36</v>
          </cell>
        </row>
        <row r="36">
          <cell r="J36">
            <v>1.52</v>
          </cell>
        </row>
        <row r="37">
          <cell r="J37">
            <v>0.06</v>
          </cell>
        </row>
        <row r="39">
          <cell r="J39">
            <v>0.55000000000000004</v>
          </cell>
        </row>
        <row r="40">
          <cell r="J40">
            <v>0.26769999999999999</v>
          </cell>
        </row>
        <row r="41">
          <cell r="J41">
            <v>0.73</v>
          </cell>
        </row>
        <row r="43">
          <cell r="J43">
            <v>0.14499999999999999</v>
          </cell>
        </row>
        <row r="44">
          <cell r="J44">
            <v>2.09</v>
          </cell>
        </row>
        <row r="45">
          <cell r="J45">
            <v>0.34</v>
          </cell>
        </row>
        <row r="46">
          <cell r="J46">
            <v>1.2</v>
          </cell>
        </row>
        <row r="47">
          <cell r="J47">
            <v>8.5000000000000006E-2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P3">
            <v>0.86999999999999988</v>
          </cell>
        </row>
        <row r="4">
          <cell r="P4">
            <v>0.89999999999999991</v>
          </cell>
        </row>
        <row r="6">
          <cell r="P6">
            <v>6.18</v>
          </cell>
        </row>
        <row r="9">
          <cell r="P9">
            <v>1.21</v>
          </cell>
        </row>
        <row r="10">
          <cell r="P10">
            <v>0.1</v>
          </cell>
        </row>
        <row r="11">
          <cell r="P11">
            <v>5.2000000000000005E-2</v>
          </cell>
        </row>
        <row r="12">
          <cell r="P12">
            <v>0.49</v>
          </cell>
        </row>
        <row r="13">
          <cell r="P13">
            <v>2</v>
          </cell>
        </row>
        <row r="14">
          <cell r="P14">
            <v>0.02</v>
          </cell>
        </row>
        <row r="15">
          <cell r="P15">
            <v>0.16</v>
          </cell>
        </row>
        <row r="22">
          <cell r="P22">
            <v>4.1300000000000008</v>
          </cell>
        </row>
        <row r="42">
          <cell r="P42">
            <v>4.9000000000000009E-2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6DA5B-7CE7-4C44-8507-FACD99F73023}">
  <dimension ref="A1:P174"/>
  <sheetViews>
    <sheetView tabSelected="1" workbookViewId="0">
      <selection activeCell="R6" sqref="R6"/>
    </sheetView>
  </sheetViews>
  <sheetFormatPr baseColWidth="10" defaultRowHeight="16" x14ac:dyDescent="0.2"/>
  <cols>
    <col min="1" max="1" width="25.33203125" bestFit="1" customWidth="1"/>
    <col min="2" max="2" width="5.1640625" bestFit="1" customWidth="1"/>
    <col min="3" max="3" width="6.83203125" bestFit="1" customWidth="1"/>
    <col min="4" max="4" width="4.5" bestFit="1" customWidth="1"/>
    <col min="5" max="5" width="6.6640625" bestFit="1" customWidth="1"/>
    <col min="6" max="6" width="6.1640625" bestFit="1" customWidth="1"/>
    <col min="7" max="7" width="6.6640625" bestFit="1" customWidth="1"/>
    <col min="8" max="9" width="6.1640625" bestFit="1" customWidth="1"/>
    <col min="10" max="10" width="7" bestFit="1" customWidth="1"/>
    <col min="11" max="11" width="7.1640625" customWidth="1"/>
    <col min="12" max="12" width="6.33203125" bestFit="1" customWidth="1"/>
    <col min="13" max="13" width="5.83203125" customWidth="1"/>
    <col min="14" max="14" width="4.1640625" bestFit="1" customWidth="1"/>
    <col min="15" max="15" width="6" bestFit="1" customWidth="1"/>
    <col min="16" max="16" width="6.1640625" bestFit="1" customWidth="1"/>
  </cols>
  <sheetData>
    <row r="1" spans="1:16" x14ac:dyDescent="0.2">
      <c r="A1" s="1">
        <f ca="1">TODAY()</f>
        <v>44780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2" t="s">
        <v>0</v>
      </c>
      <c r="B2" s="3"/>
      <c r="C2" s="3"/>
      <c r="D2" s="3"/>
      <c r="E2" s="3"/>
      <c r="F2" s="4"/>
      <c r="G2" s="5"/>
      <c r="H2" s="6"/>
      <c r="I2" s="6"/>
      <c r="J2" s="6"/>
      <c r="K2" s="7"/>
      <c r="L2" s="8" t="s">
        <v>1</v>
      </c>
      <c r="M2" s="9">
        <f>SUM(K4:K22)</f>
        <v>15545.937259999997</v>
      </c>
      <c r="N2" s="10"/>
      <c r="O2" s="11"/>
      <c r="P2" s="12">
        <f>M2/P159</f>
        <v>0.26346656587289258</v>
      </c>
    </row>
    <row r="3" spans="1:16" x14ac:dyDescent="0.2">
      <c r="A3" s="13" t="s">
        <v>2</v>
      </c>
      <c r="B3" s="13" t="s">
        <v>3</v>
      </c>
      <c r="C3" s="14" t="s">
        <v>4</v>
      </c>
      <c r="D3" s="13" t="s">
        <v>5</v>
      </c>
      <c r="E3" s="15" t="s">
        <v>6</v>
      </c>
      <c r="F3" s="13" t="s">
        <v>7</v>
      </c>
      <c r="G3" s="13" t="s">
        <v>8</v>
      </c>
      <c r="H3" s="16" t="s">
        <v>9</v>
      </c>
      <c r="I3" s="13" t="s">
        <v>10</v>
      </c>
      <c r="J3" s="15" t="s">
        <v>11</v>
      </c>
      <c r="K3" s="13" t="s">
        <v>12</v>
      </c>
      <c r="L3" s="13" t="s">
        <v>13</v>
      </c>
      <c r="M3" s="17" t="s">
        <v>14</v>
      </c>
      <c r="N3" s="18" t="s">
        <v>15</v>
      </c>
      <c r="O3" s="19" t="s">
        <v>16</v>
      </c>
      <c r="P3" s="17" t="s">
        <v>17</v>
      </c>
    </row>
    <row r="4" spans="1:16" x14ac:dyDescent="0.2">
      <c r="A4" s="20" t="s">
        <v>18</v>
      </c>
      <c r="B4" s="20" t="s">
        <v>19</v>
      </c>
      <c r="C4" s="21">
        <v>44193</v>
      </c>
      <c r="D4" s="20">
        <v>100</v>
      </c>
      <c r="E4" s="22">
        <v>1.1766000000000001</v>
      </c>
      <c r="F4" s="23">
        <v>6.32</v>
      </c>
      <c r="G4" s="24">
        <f t="shared" ref="G4:G101" si="0">(F4*D4)/E4</f>
        <v>537.14091449940497</v>
      </c>
      <c r="H4" s="25">
        <f>'[1]auto data'!J7</f>
        <v>5.84</v>
      </c>
      <c r="I4" s="26">
        <f>[1]Dividend!P11</f>
        <v>5.2000000000000005E-2</v>
      </c>
      <c r="J4" s="22">
        <f>C154</f>
        <v>1.0185373803218578</v>
      </c>
      <c r="K4" s="24">
        <f>((H4+I4)/J4)*D4</f>
        <v>578.47655999999995</v>
      </c>
      <c r="L4" s="27">
        <f t="shared" ref="L4:L18" si="1">(K4-G4)/G4</f>
        <v>7.695493749367098E-2</v>
      </c>
      <c r="M4" s="28">
        <f t="shared" ref="M4:M22" si="2">K4-G4</f>
        <v>41.335645500594978</v>
      </c>
      <c r="N4" s="29">
        <v>8.91</v>
      </c>
      <c r="O4" s="30">
        <f>(N4+I4)*0.75</f>
        <v>6.7214999999999998</v>
      </c>
      <c r="P4" s="31">
        <f t="shared" ref="P4:P18" si="3">O4-F4</f>
        <v>0.40149999999999952</v>
      </c>
    </row>
    <row r="5" spans="1:16" x14ac:dyDescent="0.2">
      <c r="A5" s="32" t="s">
        <v>20</v>
      </c>
      <c r="B5" s="20" t="s">
        <v>19</v>
      </c>
      <c r="C5" s="21">
        <v>44683</v>
      </c>
      <c r="D5" s="20">
        <v>100</v>
      </c>
      <c r="E5" s="22">
        <v>1.0499000000000001</v>
      </c>
      <c r="F5" s="23">
        <v>6.8250000000000002</v>
      </c>
      <c r="G5" s="24">
        <f t="shared" si="0"/>
        <v>650.0619106581579</v>
      </c>
      <c r="H5" s="25">
        <f>H4</f>
        <v>5.84</v>
      </c>
      <c r="I5" s="26">
        <f>I4-0.032</f>
        <v>2.0000000000000004E-2</v>
      </c>
      <c r="J5" s="22">
        <f>C154</f>
        <v>1.0185373803218578</v>
      </c>
      <c r="K5" s="24">
        <f t="shared" ref="K5:K6" si="4">((H5+I5)/J5)*D5</f>
        <v>575.33479999999986</v>
      </c>
      <c r="L5" s="33">
        <f t="shared" si="1"/>
        <v>-0.11495383660073279</v>
      </c>
      <c r="M5" s="28">
        <f t="shared" si="2"/>
        <v>-74.72711065815804</v>
      </c>
      <c r="N5" s="29">
        <v>6.83</v>
      </c>
      <c r="O5" s="30">
        <f>(N5+I5)*0.75</f>
        <v>5.1374999999999993</v>
      </c>
      <c r="P5" s="34">
        <f t="shared" si="3"/>
        <v>-1.6875000000000009</v>
      </c>
    </row>
    <row r="6" spans="1:16" x14ac:dyDescent="0.2">
      <c r="A6" s="32" t="s">
        <v>21</v>
      </c>
      <c r="B6" s="20" t="s">
        <v>19</v>
      </c>
      <c r="C6" s="21">
        <v>44690</v>
      </c>
      <c r="D6" s="20">
        <v>100</v>
      </c>
      <c r="E6" s="22">
        <v>1.0529999999999999</v>
      </c>
      <c r="F6" s="23">
        <v>6.48</v>
      </c>
      <c r="G6" s="24">
        <f t="shared" si="0"/>
        <v>615.38461538461547</v>
      </c>
      <c r="H6" s="25">
        <f>H5</f>
        <v>5.84</v>
      </c>
      <c r="I6" s="26">
        <v>0</v>
      </c>
      <c r="J6" s="22">
        <f>C154</f>
        <v>1.0185373803218578</v>
      </c>
      <c r="K6" s="24">
        <f t="shared" si="4"/>
        <v>573.37119999999993</v>
      </c>
      <c r="L6" s="33">
        <f t="shared" si="1"/>
        <v>-6.8271800000000243E-2</v>
      </c>
      <c r="M6" s="28">
        <f t="shared" si="2"/>
        <v>-42.013415384615541</v>
      </c>
      <c r="N6" s="29">
        <v>6.48</v>
      </c>
      <c r="O6" s="30">
        <f>(N6+I6)*0.75</f>
        <v>4.8600000000000003</v>
      </c>
      <c r="P6" s="34">
        <f t="shared" si="3"/>
        <v>-1.62</v>
      </c>
    </row>
    <row r="7" spans="1:16" x14ac:dyDescent="0.2">
      <c r="A7" s="32" t="s">
        <v>22</v>
      </c>
      <c r="B7" s="20" t="s">
        <v>19</v>
      </c>
      <c r="C7" s="21">
        <v>44735</v>
      </c>
      <c r="D7" s="20">
        <v>100</v>
      </c>
      <c r="E7" s="22">
        <v>1.0550999999999999</v>
      </c>
      <c r="F7" s="23">
        <v>5.98</v>
      </c>
      <c r="G7" s="24">
        <f t="shared" si="0"/>
        <v>566.77092218747043</v>
      </c>
      <c r="H7" s="25">
        <f>H6</f>
        <v>5.84</v>
      </c>
      <c r="I7" s="26">
        <v>0</v>
      </c>
      <c r="J7" s="22">
        <f>C154</f>
        <v>1.0185373803218578</v>
      </c>
      <c r="K7" s="24">
        <f>((H7+I7)/J7)*D7</f>
        <v>573.37119999999993</v>
      </c>
      <c r="L7" s="27">
        <f t="shared" si="1"/>
        <v>1.1645406555183735E-2</v>
      </c>
      <c r="M7" s="28">
        <f t="shared" si="2"/>
        <v>6.6002778125294981</v>
      </c>
      <c r="N7" s="29">
        <v>7.48</v>
      </c>
      <c r="O7" s="30">
        <f>(N7+I7)*0.75</f>
        <v>5.61</v>
      </c>
      <c r="P7" s="34">
        <f t="shared" si="3"/>
        <v>-0.37000000000000011</v>
      </c>
    </row>
    <row r="8" spans="1:16" x14ac:dyDescent="0.2">
      <c r="A8" s="20" t="s">
        <v>23</v>
      </c>
      <c r="B8" s="20" t="s">
        <v>24</v>
      </c>
      <c r="C8" s="21">
        <v>44195</v>
      </c>
      <c r="D8" s="20">
        <v>45</v>
      </c>
      <c r="E8" s="22">
        <v>1.1637</v>
      </c>
      <c r="F8" s="23">
        <v>39.96</v>
      </c>
      <c r="G8" s="24">
        <f t="shared" si="0"/>
        <v>1545.2436194895593</v>
      </c>
      <c r="H8" s="25">
        <f>'[1]auto data'!J8</f>
        <v>33.729999999999997</v>
      </c>
      <c r="I8" s="26">
        <f>[1]Dividend!P3</f>
        <v>0.86999999999999988</v>
      </c>
      <c r="J8" s="22">
        <f>C154</f>
        <v>1.0185373803218578</v>
      </c>
      <c r="K8" s="24">
        <f>((H8+I8)/J8)*D8</f>
        <v>1528.6625999999999</v>
      </c>
      <c r="L8" s="33">
        <f t="shared" si="1"/>
        <v>-1.073035945945959E-2</v>
      </c>
      <c r="M8" s="28">
        <f t="shared" si="2"/>
        <v>-16.581019489559367</v>
      </c>
      <c r="N8" s="29">
        <v>51.29</v>
      </c>
      <c r="O8" s="30">
        <f>(N8+I8)*0.75</f>
        <v>39.119999999999997</v>
      </c>
      <c r="P8" s="34">
        <f t="shared" si="3"/>
        <v>-0.84000000000000341</v>
      </c>
    </row>
    <row r="9" spans="1:16" x14ac:dyDescent="0.2">
      <c r="A9" s="20" t="s">
        <v>25</v>
      </c>
      <c r="B9" s="20" t="s">
        <v>26</v>
      </c>
      <c r="C9" s="21">
        <v>44210</v>
      </c>
      <c r="D9" s="20">
        <v>200</v>
      </c>
      <c r="E9" s="22">
        <v>1.56</v>
      </c>
      <c r="F9" s="23">
        <v>2.52</v>
      </c>
      <c r="G9" s="24">
        <f t="shared" si="0"/>
        <v>323.07692307692304</v>
      </c>
      <c r="H9" s="25">
        <f>'[1]auto data'!J10</f>
        <v>2.8</v>
      </c>
      <c r="I9" s="26">
        <v>0</v>
      </c>
      <c r="J9" s="22">
        <f>C155</f>
        <v>1.3173494928204452</v>
      </c>
      <c r="K9" s="24">
        <f t="shared" ref="K9:K22" si="5">((H9+I9)/J9)*D9</f>
        <v>425.096</v>
      </c>
      <c r="L9" s="27">
        <f t="shared" si="1"/>
        <v>0.31577333333333352</v>
      </c>
      <c r="M9" s="28">
        <f t="shared" si="2"/>
        <v>102.01907692307697</v>
      </c>
      <c r="N9" s="29">
        <v>3.82</v>
      </c>
      <c r="O9" s="30">
        <f>(N9+I9)*0.66</f>
        <v>2.5211999999999999</v>
      </c>
      <c r="P9" s="31">
        <f t="shared" si="3"/>
        <v>1.1999999999998678E-3</v>
      </c>
    </row>
    <row r="10" spans="1:16" x14ac:dyDescent="0.2">
      <c r="A10" s="20" t="s">
        <v>27</v>
      </c>
      <c r="B10" s="20" t="s">
        <v>28</v>
      </c>
      <c r="C10" s="21">
        <v>44211</v>
      </c>
      <c r="D10" s="20">
        <v>50</v>
      </c>
      <c r="E10" s="22">
        <v>1.1615</v>
      </c>
      <c r="F10" s="23">
        <v>8.2349999999999994</v>
      </c>
      <c r="G10" s="24">
        <f t="shared" si="0"/>
        <v>354.49849332759362</v>
      </c>
      <c r="H10" s="25">
        <f>'[1]auto data'!J11</f>
        <v>6.8</v>
      </c>
      <c r="I10" s="26">
        <v>0</v>
      </c>
      <c r="J10" s="22">
        <f>C154</f>
        <v>1.0185373803218578</v>
      </c>
      <c r="K10" s="24">
        <f t="shared" si="5"/>
        <v>333.81200000000001</v>
      </c>
      <c r="L10" s="33">
        <f t="shared" si="1"/>
        <v>-5.8354248937462001E-2</v>
      </c>
      <c r="M10" s="28">
        <f t="shared" si="2"/>
        <v>-20.68649332759361</v>
      </c>
      <c r="N10" s="29">
        <v>10.15</v>
      </c>
      <c r="O10" s="30">
        <f>(N10+I10)*0.66</f>
        <v>6.6990000000000007</v>
      </c>
      <c r="P10" s="34">
        <f t="shared" si="3"/>
        <v>-1.5359999999999987</v>
      </c>
    </row>
    <row r="11" spans="1:16" x14ac:dyDescent="0.2">
      <c r="A11" s="20" t="s">
        <v>29</v>
      </c>
      <c r="B11" s="20" t="s">
        <v>30</v>
      </c>
      <c r="C11" s="21">
        <v>44250</v>
      </c>
      <c r="D11" s="20">
        <v>200</v>
      </c>
      <c r="E11" s="22">
        <v>1.1871</v>
      </c>
      <c r="F11" s="23">
        <v>8.9</v>
      </c>
      <c r="G11" s="24">
        <f t="shared" si="0"/>
        <v>1499.4524471400891</v>
      </c>
      <c r="H11" s="25">
        <f>'[1]auto data'!J13</f>
        <v>6.82</v>
      </c>
      <c r="I11" s="26">
        <v>0</v>
      </c>
      <c r="J11" s="22">
        <f>C154</f>
        <v>1.0185373803218578</v>
      </c>
      <c r="K11" s="24">
        <f t="shared" si="5"/>
        <v>1339.1752000000001</v>
      </c>
      <c r="L11" s="33">
        <f t="shared" si="1"/>
        <v>-0.10689051689887623</v>
      </c>
      <c r="M11" s="28">
        <f t="shared" si="2"/>
        <v>-160.277247140089</v>
      </c>
      <c r="N11" s="29">
        <v>10.07</v>
      </c>
      <c r="O11" s="30">
        <f>(N11+I11)*0.75</f>
        <v>7.5525000000000002</v>
      </c>
      <c r="P11" s="34">
        <f t="shared" si="3"/>
        <v>-1.3475000000000001</v>
      </c>
    </row>
    <row r="12" spans="1:16" x14ac:dyDescent="0.2">
      <c r="A12" s="20" t="s">
        <v>31</v>
      </c>
      <c r="B12" s="20" t="s">
        <v>32</v>
      </c>
      <c r="C12" s="21">
        <v>44295</v>
      </c>
      <c r="D12" s="20">
        <v>200</v>
      </c>
      <c r="E12" s="22">
        <v>1.1847000000000001</v>
      </c>
      <c r="F12" s="23">
        <v>18.54</v>
      </c>
      <c r="G12" s="24">
        <f t="shared" si="0"/>
        <v>3129.9063053937703</v>
      </c>
      <c r="H12" s="25">
        <f>'[1]auto data'!J14</f>
        <v>14.36</v>
      </c>
      <c r="I12" s="26">
        <v>0</v>
      </c>
      <c r="J12" s="22">
        <f>C154</f>
        <v>1.0185373803218578</v>
      </c>
      <c r="K12" s="24">
        <f t="shared" si="5"/>
        <v>2819.7295999999997</v>
      </c>
      <c r="L12" s="33">
        <f t="shared" si="1"/>
        <v>-9.910095546925568E-2</v>
      </c>
      <c r="M12" s="28">
        <f t="shared" si="2"/>
        <v>-310.17670539377059</v>
      </c>
      <c r="N12" s="29">
        <v>20.2</v>
      </c>
      <c r="O12" s="30">
        <f>(N12+I12)*0.75</f>
        <v>15.149999999999999</v>
      </c>
      <c r="P12" s="34">
        <f t="shared" si="3"/>
        <v>-3.3900000000000006</v>
      </c>
    </row>
    <row r="13" spans="1:16" x14ac:dyDescent="0.2">
      <c r="A13" s="32" t="s">
        <v>33</v>
      </c>
      <c r="B13" s="20" t="s">
        <v>34</v>
      </c>
      <c r="C13" s="21">
        <v>44313</v>
      </c>
      <c r="D13" s="20">
        <v>6000</v>
      </c>
      <c r="E13" s="22">
        <v>1.4043000000000001</v>
      </c>
      <c r="F13" s="23">
        <v>0.25169999999999998</v>
      </c>
      <c r="G13" s="24">
        <f t="shared" si="0"/>
        <v>1075.411236915189</v>
      </c>
      <c r="H13" s="25">
        <f>'[1]auto data'!J15</f>
        <v>0.23</v>
      </c>
      <c r="I13" s="26">
        <v>0</v>
      </c>
      <c r="J13" s="22">
        <f>C155</f>
        <v>1.3173494928204452</v>
      </c>
      <c r="K13" s="24">
        <f t="shared" si="5"/>
        <v>1047.5580000000002</v>
      </c>
      <c r="L13" s="33">
        <f t="shared" si="1"/>
        <v>-2.5900079856972295E-2</v>
      </c>
      <c r="M13" s="28">
        <f t="shared" si="2"/>
        <v>-27.853236915188745</v>
      </c>
      <c r="N13" s="29">
        <v>0.44</v>
      </c>
      <c r="O13" s="30">
        <f>(N13+I13)*0.5</f>
        <v>0.22</v>
      </c>
      <c r="P13" s="34">
        <f t="shared" si="3"/>
        <v>-3.1699999999999978E-2</v>
      </c>
    </row>
    <row r="14" spans="1:16" x14ac:dyDescent="0.2">
      <c r="A14" s="20" t="s">
        <v>35</v>
      </c>
      <c r="B14" s="20" t="s">
        <v>36</v>
      </c>
      <c r="C14" s="21">
        <v>44341</v>
      </c>
      <c r="D14" s="20">
        <v>300</v>
      </c>
      <c r="E14" s="22">
        <v>1.1656</v>
      </c>
      <c r="F14" s="23">
        <v>4.16</v>
      </c>
      <c r="G14" s="24">
        <f t="shared" si="0"/>
        <v>1070.6932052161976</v>
      </c>
      <c r="H14" s="25">
        <f>'[1]auto data'!J16</f>
        <v>2.92</v>
      </c>
      <c r="I14" s="26">
        <f>[1]Dividend!P14</f>
        <v>0.02</v>
      </c>
      <c r="J14" s="22">
        <f>C154</f>
        <v>1.0185373803218578</v>
      </c>
      <c r="K14" s="24">
        <f>((H14+I14)/J14)*D14+349</f>
        <v>1214.9476</v>
      </c>
      <c r="L14" s="27">
        <f t="shared" si="1"/>
        <v>0.13472990589743591</v>
      </c>
      <c r="M14" s="28">
        <f t="shared" si="2"/>
        <v>144.25439478380235</v>
      </c>
      <c r="N14" s="29">
        <v>5.0999999999999996</v>
      </c>
      <c r="O14" s="30">
        <f t="shared" ref="O14:O22" si="6">(N14+I14)*0.66</f>
        <v>3.3791999999999995</v>
      </c>
      <c r="P14" s="34">
        <f t="shared" si="3"/>
        <v>-0.7808000000000006</v>
      </c>
    </row>
    <row r="15" spans="1:16" x14ac:dyDescent="0.2">
      <c r="A15" s="32" t="s">
        <v>37</v>
      </c>
      <c r="B15" s="20" t="s">
        <v>38</v>
      </c>
      <c r="C15" s="21">
        <v>44368</v>
      </c>
      <c r="D15" s="20">
        <v>300</v>
      </c>
      <c r="E15" s="22">
        <v>1.1375</v>
      </c>
      <c r="F15" s="23">
        <v>7.49</v>
      </c>
      <c r="G15" s="24">
        <f t="shared" si="0"/>
        <v>1975.3846153846155</v>
      </c>
      <c r="H15" s="25">
        <f>H106</f>
        <v>4.9000000000000004</v>
      </c>
      <c r="I15" s="26">
        <v>0</v>
      </c>
      <c r="J15" s="22">
        <f>C154</f>
        <v>1.0185373803218578</v>
      </c>
      <c r="K15" s="24">
        <f t="shared" si="5"/>
        <v>1443.2460000000001</v>
      </c>
      <c r="L15" s="33">
        <f t="shared" si="1"/>
        <v>-0.26938481308411211</v>
      </c>
      <c r="M15" s="28">
        <f t="shared" si="2"/>
        <v>-532.13861538461538</v>
      </c>
      <c r="N15" s="29">
        <v>7.49</v>
      </c>
      <c r="O15" s="30">
        <f t="shared" si="6"/>
        <v>4.9434000000000005</v>
      </c>
      <c r="P15" s="34">
        <f t="shared" si="3"/>
        <v>-2.5465999999999998</v>
      </c>
    </row>
    <row r="16" spans="1:16" x14ac:dyDescent="0.2">
      <c r="A16" s="32" t="s">
        <v>39</v>
      </c>
      <c r="B16" s="20" t="s">
        <v>38</v>
      </c>
      <c r="C16" s="21">
        <v>44726</v>
      </c>
      <c r="D16" s="20">
        <v>100</v>
      </c>
      <c r="E16" s="22">
        <v>1.0409999999999999</v>
      </c>
      <c r="F16" s="23">
        <v>5.15</v>
      </c>
      <c r="G16" s="24">
        <f t="shared" si="0"/>
        <v>494.71661863592703</v>
      </c>
      <c r="H16" s="25">
        <f>H15</f>
        <v>4.9000000000000004</v>
      </c>
      <c r="I16" s="26">
        <v>0</v>
      </c>
      <c r="J16" s="22">
        <f>C154</f>
        <v>1.0185373803218578</v>
      </c>
      <c r="K16" s="24">
        <f t="shared" si="5"/>
        <v>481.08200000000005</v>
      </c>
      <c r="L16" s="33">
        <f t="shared" si="1"/>
        <v>-2.7560462135922309E-2</v>
      </c>
      <c r="M16" s="28">
        <f t="shared" si="2"/>
        <v>-13.634618635926984</v>
      </c>
      <c r="N16" s="29">
        <v>5.16</v>
      </c>
      <c r="O16" s="30">
        <f t="shared" si="6"/>
        <v>3.4056000000000002</v>
      </c>
      <c r="P16" s="34">
        <f t="shared" si="3"/>
        <v>-1.7444000000000002</v>
      </c>
    </row>
    <row r="17" spans="1:16" x14ac:dyDescent="0.2">
      <c r="A17" s="20" t="s">
        <v>40</v>
      </c>
      <c r="B17" s="20" t="s">
        <v>41</v>
      </c>
      <c r="C17" s="21">
        <v>44388</v>
      </c>
      <c r="D17" s="20">
        <v>100</v>
      </c>
      <c r="E17" s="22">
        <v>1.18</v>
      </c>
      <c r="F17" s="23">
        <v>5.29</v>
      </c>
      <c r="G17" s="24">
        <f t="shared" si="0"/>
        <v>448.30508474576271</v>
      </c>
      <c r="H17" s="25">
        <f>'[1]auto data'!J19</f>
        <v>3.69</v>
      </c>
      <c r="I17" s="26">
        <v>0</v>
      </c>
      <c r="J17" s="22">
        <f>C154</f>
        <v>1.0185373803218578</v>
      </c>
      <c r="K17" s="24">
        <f t="shared" si="5"/>
        <v>362.2842</v>
      </c>
      <c r="L17" s="33">
        <f t="shared" si="1"/>
        <v>-0.19188023440453686</v>
      </c>
      <c r="M17" s="28">
        <f t="shared" si="2"/>
        <v>-86.020884745762714</v>
      </c>
      <c r="N17" s="29">
        <v>5.58</v>
      </c>
      <c r="O17" s="30">
        <f t="shared" si="6"/>
        <v>3.6828000000000003</v>
      </c>
      <c r="P17" s="34">
        <f t="shared" si="3"/>
        <v>-1.6071999999999997</v>
      </c>
    </row>
    <row r="18" spans="1:16" x14ac:dyDescent="0.2">
      <c r="A18" s="20" t="s">
        <v>42</v>
      </c>
      <c r="B18" s="20" t="s">
        <v>43</v>
      </c>
      <c r="C18" s="21">
        <v>44433</v>
      </c>
      <c r="D18" s="20">
        <v>300</v>
      </c>
      <c r="E18" s="22">
        <v>1.4830000000000001</v>
      </c>
      <c r="F18" s="23">
        <v>1.27</v>
      </c>
      <c r="G18" s="24">
        <f t="shared" si="0"/>
        <v>256.91166554281858</v>
      </c>
      <c r="H18" s="35">
        <f>'[1]auto data'!J20</f>
        <v>1.23</v>
      </c>
      <c r="I18" s="26">
        <f>[1]Dividend!P10</f>
        <v>0.1</v>
      </c>
      <c r="J18" s="22">
        <f>C155</f>
        <v>1.3173494928204452</v>
      </c>
      <c r="K18" s="24">
        <f t="shared" si="5"/>
        <v>302.8809</v>
      </c>
      <c r="L18" s="27">
        <f t="shared" si="1"/>
        <v>0.17893011732283476</v>
      </c>
      <c r="M18" s="28">
        <f t="shared" si="2"/>
        <v>45.969234457181415</v>
      </c>
      <c r="N18" s="29">
        <v>1.5</v>
      </c>
      <c r="O18" s="30">
        <f t="shared" si="6"/>
        <v>1.056</v>
      </c>
      <c r="P18" s="34">
        <f t="shared" si="3"/>
        <v>-0.21399999999999997</v>
      </c>
    </row>
    <row r="19" spans="1:16" x14ac:dyDescent="0.2">
      <c r="A19" s="20" t="s">
        <v>44</v>
      </c>
      <c r="B19" s="20" t="s">
        <v>45</v>
      </c>
      <c r="C19" s="21">
        <v>44517</v>
      </c>
      <c r="D19" s="20">
        <v>40</v>
      </c>
      <c r="E19" s="22">
        <v>1.1301000000000001</v>
      </c>
      <c r="F19" s="23">
        <v>12.82</v>
      </c>
      <c r="G19" s="24">
        <f t="shared" si="0"/>
        <v>453.76515352623653</v>
      </c>
      <c r="H19" s="35">
        <f>'[1]auto data'!J21</f>
        <v>10.210000000000001</v>
      </c>
      <c r="I19" s="26">
        <f>[1]Dividend!P12</f>
        <v>0.49</v>
      </c>
      <c r="J19" s="22">
        <f>C154</f>
        <v>1.0185373803218578</v>
      </c>
      <c r="K19" s="24">
        <f>((H19+I19)/J19)*D19</f>
        <v>420.21040000000005</v>
      </c>
      <c r="L19" s="33">
        <f>(K19-G19)/G19</f>
        <v>-7.394740046801844E-2</v>
      </c>
      <c r="M19" s="28">
        <f t="shared" si="2"/>
        <v>-33.554753526236482</v>
      </c>
      <c r="N19" s="29">
        <v>20.11</v>
      </c>
      <c r="O19" s="30">
        <f>(N19+I19)*0.66</f>
        <v>13.596</v>
      </c>
      <c r="P19" s="31">
        <f>O19-F19</f>
        <v>0.7759999999999998</v>
      </c>
    </row>
    <row r="20" spans="1:16" x14ac:dyDescent="0.2">
      <c r="A20" s="32" t="s">
        <v>46</v>
      </c>
      <c r="B20" s="20" t="s">
        <v>45</v>
      </c>
      <c r="C20" s="21">
        <v>44658</v>
      </c>
      <c r="D20" s="20">
        <v>60</v>
      </c>
      <c r="E20" s="22">
        <v>1.0878000000000001</v>
      </c>
      <c r="F20" s="23">
        <v>15.22</v>
      </c>
      <c r="G20" s="24">
        <f t="shared" si="0"/>
        <v>839.49255377826807</v>
      </c>
      <c r="H20" s="35">
        <f>H19</f>
        <v>10.210000000000001</v>
      </c>
      <c r="I20" s="26">
        <f>[1]Dividend!P12</f>
        <v>0.49</v>
      </c>
      <c r="J20" s="22">
        <f>C154</f>
        <v>1.0185373803218578</v>
      </c>
      <c r="K20" s="24">
        <f>((H20+I20)/J20)*D20</f>
        <v>630.31560000000013</v>
      </c>
      <c r="L20" s="33">
        <f>(K20-G20)/G20</f>
        <v>-0.24917070775295649</v>
      </c>
      <c r="M20" s="28">
        <f t="shared" si="2"/>
        <v>-209.17695377826794</v>
      </c>
      <c r="N20" s="29">
        <v>15.22</v>
      </c>
      <c r="O20" s="30">
        <f>(N20+I20)*0.66</f>
        <v>10.368600000000001</v>
      </c>
      <c r="P20" s="34">
        <f>O20-F20</f>
        <v>-4.8513999999999999</v>
      </c>
    </row>
    <row r="21" spans="1:16" x14ac:dyDescent="0.2">
      <c r="A21" s="32" t="s">
        <v>47</v>
      </c>
      <c r="B21" s="20" t="s">
        <v>45</v>
      </c>
      <c r="C21" s="21">
        <v>44690</v>
      </c>
      <c r="D21" s="20">
        <v>50</v>
      </c>
      <c r="E21" s="22">
        <v>1.0529999999999999</v>
      </c>
      <c r="F21" s="23">
        <v>11.875</v>
      </c>
      <c r="G21" s="24">
        <f t="shared" si="0"/>
        <v>563.8651471984806</v>
      </c>
      <c r="H21" s="35">
        <f>H20</f>
        <v>10.210000000000001</v>
      </c>
      <c r="I21" s="26">
        <v>0</v>
      </c>
      <c r="J21" s="22">
        <f>C154</f>
        <v>1.0185373803218578</v>
      </c>
      <c r="K21" s="24">
        <f>((H21+I21)/J21)*D21</f>
        <v>501.20890000000003</v>
      </c>
      <c r="L21" s="33">
        <f>(K21-G21)/G21</f>
        <v>-0.1111192055578948</v>
      </c>
      <c r="M21" s="28">
        <f t="shared" si="2"/>
        <v>-62.656247198480571</v>
      </c>
      <c r="N21" s="29">
        <v>11.78</v>
      </c>
      <c r="O21" s="30">
        <f>(N21+I21)*0.66</f>
        <v>7.7747999999999999</v>
      </c>
      <c r="P21" s="34">
        <f>O21-F21</f>
        <v>-4.1002000000000001</v>
      </c>
    </row>
    <row r="22" spans="1:16" x14ac:dyDescent="0.2">
      <c r="A22" s="20" t="s">
        <v>48</v>
      </c>
      <c r="B22" s="20" t="s">
        <v>49</v>
      </c>
      <c r="C22" s="21">
        <v>44589</v>
      </c>
      <c r="D22" s="20">
        <v>50</v>
      </c>
      <c r="E22" s="22">
        <v>1.1152</v>
      </c>
      <c r="F22" s="23">
        <v>9.56</v>
      </c>
      <c r="G22" s="24">
        <f t="shared" si="0"/>
        <v>428.62266857962697</v>
      </c>
      <c r="H22" s="35">
        <f>'[1]auto data'!S6</f>
        <v>8.0500000000000007</v>
      </c>
      <c r="I22" s="26">
        <v>0</v>
      </c>
      <c r="J22" s="22">
        <f>C154</f>
        <v>1.0185373803218578</v>
      </c>
      <c r="K22" s="24">
        <f t="shared" si="5"/>
        <v>395.17450000000002</v>
      </c>
      <c r="L22" s="33">
        <f t="shared" ref="L22" si="7">(K22-G22)/G22</f>
        <v>-7.8036396652719622E-2</v>
      </c>
      <c r="M22" s="28">
        <f t="shared" si="2"/>
        <v>-33.448168579626952</v>
      </c>
      <c r="N22" s="29">
        <v>14.24</v>
      </c>
      <c r="O22" s="30">
        <f t="shared" si="6"/>
        <v>9.3984000000000005</v>
      </c>
      <c r="P22" s="34">
        <f t="shared" ref="P22" si="8">O22-F22</f>
        <v>-0.16159999999999997</v>
      </c>
    </row>
    <row r="23" spans="1:16" x14ac:dyDescent="0.2">
      <c r="A23" s="2" t="s">
        <v>50</v>
      </c>
      <c r="B23" s="3"/>
      <c r="C23" s="3"/>
      <c r="D23" s="3"/>
      <c r="E23" s="3"/>
      <c r="F23" s="4"/>
      <c r="G23" s="5"/>
      <c r="H23" s="6"/>
      <c r="I23" s="6"/>
      <c r="J23" s="6"/>
      <c r="K23" s="7"/>
      <c r="L23" s="8" t="s">
        <v>1</v>
      </c>
      <c r="M23" s="9">
        <f>SUM(K25:K43)</f>
        <v>5842.3488939999997</v>
      </c>
      <c r="N23" s="10"/>
      <c r="O23" s="11"/>
      <c r="P23" s="12">
        <f>M23/P159</f>
        <v>9.901388214746161E-2</v>
      </c>
    </row>
    <row r="24" spans="1:16" x14ac:dyDescent="0.2">
      <c r="A24" s="13" t="s">
        <v>2</v>
      </c>
      <c r="B24" s="13" t="s">
        <v>3</v>
      </c>
      <c r="C24" s="14" t="s">
        <v>4</v>
      </c>
      <c r="D24" s="13" t="s">
        <v>5</v>
      </c>
      <c r="E24" s="15" t="s">
        <v>6</v>
      </c>
      <c r="F24" s="13" t="s">
        <v>7</v>
      </c>
      <c r="G24" s="13" t="s">
        <v>8</v>
      </c>
      <c r="H24" s="16" t="s">
        <v>9</v>
      </c>
      <c r="I24" s="13" t="s">
        <v>10</v>
      </c>
      <c r="J24" s="15" t="s">
        <v>11</v>
      </c>
      <c r="K24" s="13" t="s">
        <v>12</v>
      </c>
      <c r="L24" s="13" t="s">
        <v>13</v>
      </c>
      <c r="M24" s="17" t="s">
        <v>14</v>
      </c>
      <c r="N24" s="18" t="s">
        <v>15</v>
      </c>
      <c r="O24" s="19" t="s">
        <v>16</v>
      </c>
      <c r="P24" s="17" t="s">
        <v>17</v>
      </c>
    </row>
    <row r="25" spans="1:16" x14ac:dyDescent="0.2">
      <c r="A25" s="32" t="s">
        <v>51</v>
      </c>
      <c r="B25" s="20" t="s">
        <v>52</v>
      </c>
      <c r="C25" s="21">
        <v>44054</v>
      </c>
      <c r="D25" s="20">
        <v>400</v>
      </c>
      <c r="E25" s="22">
        <v>1.49</v>
      </c>
      <c r="F25" s="23">
        <v>2.355</v>
      </c>
      <c r="G25" s="24">
        <f t="shared" si="0"/>
        <v>632.21476510067112</v>
      </c>
      <c r="H25" s="25">
        <f>'[1]auto data'!J23</f>
        <v>1.33</v>
      </c>
      <c r="I25" s="20">
        <v>0</v>
      </c>
      <c r="J25" s="22">
        <f>C155</f>
        <v>1.3173494928204452</v>
      </c>
      <c r="K25" s="24">
        <f t="shared" ref="K25:K28" si="9">((H25+I25)/J25)*D25</f>
        <v>403.84120000000001</v>
      </c>
      <c r="L25" s="33">
        <f t="shared" ref="L25:L28" si="10">(K25-G25)/G25</f>
        <v>-0.36122782590233543</v>
      </c>
      <c r="M25" s="28">
        <f t="shared" ref="M25:M52" si="11">K25-G25</f>
        <v>-228.3735651006711</v>
      </c>
      <c r="N25" s="29">
        <v>3.65</v>
      </c>
      <c r="O25" s="30">
        <f t="shared" ref="O25:O27" si="12">(N25+I25)*0.5</f>
        <v>1.825</v>
      </c>
      <c r="P25" s="34">
        <f t="shared" ref="P25:P28" si="13">O25-F25</f>
        <v>-0.53</v>
      </c>
    </row>
    <row r="26" spans="1:16" x14ac:dyDescent="0.2">
      <c r="A26" s="36" t="s">
        <v>53</v>
      </c>
      <c r="B26" s="20" t="s">
        <v>54</v>
      </c>
      <c r="C26" s="21">
        <v>44096</v>
      </c>
      <c r="D26" s="20">
        <v>500</v>
      </c>
      <c r="E26" s="22">
        <v>1.56</v>
      </c>
      <c r="F26" s="23">
        <v>0.6</v>
      </c>
      <c r="G26" s="24">
        <f t="shared" si="0"/>
        <v>192.30769230769229</v>
      </c>
      <c r="H26" s="25">
        <f>'[1]auto data'!J28</f>
        <v>0.28000000000000003</v>
      </c>
      <c r="I26" s="20">
        <v>0</v>
      </c>
      <c r="J26" s="22">
        <f>C155</f>
        <v>1.3173494928204452</v>
      </c>
      <c r="K26" s="24">
        <f t="shared" si="9"/>
        <v>106.274</v>
      </c>
      <c r="L26" s="33">
        <f t="shared" si="10"/>
        <v>-0.44737519999999997</v>
      </c>
      <c r="M26" s="28">
        <f t="shared" si="11"/>
        <v>-86.033692307692291</v>
      </c>
      <c r="N26" s="29">
        <v>0.7</v>
      </c>
      <c r="O26" s="30">
        <f t="shared" si="12"/>
        <v>0.35</v>
      </c>
      <c r="P26" s="34">
        <f t="shared" si="13"/>
        <v>-0.25</v>
      </c>
    </row>
    <row r="27" spans="1:16" x14ac:dyDescent="0.2">
      <c r="A27" s="36" t="s">
        <v>55</v>
      </c>
      <c r="B27" s="20" t="s">
        <v>56</v>
      </c>
      <c r="C27" s="21">
        <v>44159</v>
      </c>
      <c r="D27" s="20">
        <v>300</v>
      </c>
      <c r="E27" s="22">
        <v>1.55</v>
      </c>
      <c r="F27" s="23">
        <v>1.19</v>
      </c>
      <c r="G27" s="24">
        <f t="shared" si="0"/>
        <v>230.32258064516128</v>
      </c>
      <c r="H27" s="25">
        <f>'[1]auto data'!J32</f>
        <v>0.42</v>
      </c>
      <c r="I27" s="20">
        <v>0</v>
      </c>
      <c r="J27" s="22">
        <f>C155</f>
        <v>1.3173494928204452</v>
      </c>
      <c r="K27" s="24">
        <f t="shared" si="9"/>
        <v>95.646599999999992</v>
      </c>
      <c r="L27" s="33">
        <f t="shared" si="10"/>
        <v>-0.58472764705882363</v>
      </c>
      <c r="M27" s="28">
        <f t="shared" si="11"/>
        <v>-134.6759806451613</v>
      </c>
      <c r="N27" s="29">
        <v>1.25</v>
      </c>
      <c r="O27" s="30">
        <f t="shared" si="12"/>
        <v>0.625</v>
      </c>
      <c r="P27" s="34">
        <f t="shared" si="13"/>
        <v>-0.56499999999999995</v>
      </c>
    </row>
    <row r="28" spans="1:16" x14ac:dyDescent="0.2">
      <c r="A28" s="32" t="s">
        <v>57</v>
      </c>
      <c r="B28" s="20" t="s">
        <v>58</v>
      </c>
      <c r="C28" s="21">
        <v>44203</v>
      </c>
      <c r="D28" s="20">
        <v>2000</v>
      </c>
      <c r="E28" s="22">
        <v>1.4155</v>
      </c>
      <c r="F28" s="23">
        <v>0.57399999999999995</v>
      </c>
      <c r="G28" s="24">
        <f t="shared" si="0"/>
        <v>811.0208406923349</v>
      </c>
      <c r="H28" s="25">
        <f>'[1]auto data'!J35</f>
        <v>0.36</v>
      </c>
      <c r="I28" s="20">
        <v>0</v>
      </c>
      <c r="J28" s="22">
        <f>C155</f>
        <v>1.3173494928204452</v>
      </c>
      <c r="K28" s="24">
        <f t="shared" si="9"/>
        <v>546.55200000000002</v>
      </c>
      <c r="L28" s="33">
        <f t="shared" si="10"/>
        <v>-0.32609376655052263</v>
      </c>
      <c r="M28" s="28">
        <f>K28-G28</f>
        <v>-264.46884069233488</v>
      </c>
      <c r="N28" s="29">
        <v>0.62</v>
      </c>
      <c r="O28" s="30">
        <f>(N28+I28)*0.5</f>
        <v>0.31</v>
      </c>
      <c r="P28" s="34">
        <f t="shared" si="13"/>
        <v>-0.26399999999999996</v>
      </c>
    </row>
    <row r="29" spans="1:16" x14ac:dyDescent="0.2">
      <c r="A29" s="20" t="s">
        <v>59</v>
      </c>
      <c r="B29" s="20" t="s">
        <v>60</v>
      </c>
      <c r="C29" s="21">
        <v>43837</v>
      </c>
      <c r="D29" s="20">
        <v>720</v>
      </c>
      <c r="E29" s="22">
        <v>1.45</v>
      </c>
      <c r="F29" s="23">
        <v>0.81</v>
      </c>
      <c r="G29" s="24">
        <f t="shared" si="0"/>
        <v>402.20689655172418</v>
      </c>
      <c r="H29" s="25">
        <f>'[1]auto data'!J3</f>
        <v>0.40500000000000003</v>
      </c>
      <c r="I29" s="20">
        <v>0</v>
      </c>
      <c r="J29" s="22">
        <f>C155</f>
        <v>1.3173494928204452</v>
      </c>
      <c r="K29" s="24">
        <f>((H29+I29)/J29)*D29</f>
        <v>221.35356000000002</v>
      </c>
      <c r="L29" s="33">
        <f>(K29-G29)/G29</f>
        <v>-0.44965250000000001</v>
      </c>
      <c r="M29" s="28">
        <f t="shared" ref="M29:M43" si="14">K29-G29</f>
        <v>-180.85333655172417</v>
      </c>
      <c r="N29" s="29">
        <v>1.55</v>
      </c>
      <c r="O29" s="30">
        <f>(N29+I29)*0.33</f>
        <v>0.51150000000000007</v>
      </c>
      <c r="P29" s="34">
        <f>O29-F29</f>
        <v>-0.29849999999999999</v>
      </c>
    </row>
    <row r="30" spans="1:16" x14ac:dyDescent="0.2">
      <c r="A30" s="32" t="s">
        <v>61</v>
      </c>
      <c r="B30" s="20" t="s">
        <v>62</v>
      </c>
      <c r="C30" s="21">
        <v>44246</v>
      </c>
      <c r="D30" s="20">
        <v>2000</v>
      </c>
      <c r="E30" s="22">
        <v>1.47</v>
      </c>
      <c r="F30" s="23">
        <v>0.497</v>
      </c>
      <c r="G30" s="24">
        <f t="shared" si="0"/>
        <v>676.19047619047615</v>
      </c>
      <c r="H30" s="25">
        <f>'[1]auto data'!J12</f>
        <v>0.32</v>
      </c>
      <c r="I30" s="37">
        <v>0</v>
      </c>
      <c r="J30" s="22">
        <f>C155</f>
        <v>1.3173494928204452</v>
      </c>
      <c r="K30" s="24">
        <f t="shared" ref="K30:K43" si="15">((H30+I30)/J30)*D30</f>
        <v>485.82400000000001</v>
      </c>
      <c r="L30" s="33">
        <f t="shared" ref="L30" si="16">(K30-G30)/G30</f>
        <v>-0.28152788732394357</v>
      </c>
      <c r="M30" s="28">
        <f t="shared" si="14"/>
        <v>-190.36647619047613</v>
      </c>
      <c r="N30" s="29">
        <v>0.51</v>
      </c>
      <c r="O30" s="30">
        <f>(N30+I30)*0.66</f>
        <v>0.33660000000000001</v>
      </c>
      <c r="P30" s="34">
        <f t="shared" ref="P30:P31" si="17">O30-F30</f>
        <v>-0.16039999999999999</v>
      </c>
    </row>
    <row r="31" spans="1:16" x14ac:dyDescent="0.2">
      <c r="A31" s="32" t="s">
        <v>63</v>
      </c>
      <c r="B31" s="20" t="s">
        <v>64</v>
      </c>
      <c r="C31" s="21">
        <v>44376</v>
      </c>
      <c r="D31" s="20">
        <v>2000</v>
      </c>
      <c r="E31" s="22">
        <v>1.46</v>
      </c>
      <c r="F31" s="23">
        <v>0.375</v>
      </c>
      <c r="G31" s="24">
        <f t="shared" si="0"/>
        <v>513.69863013698637</v>
      </c>
      <c r="H31" s="35">
        <f>'[1]auto data'!J17</f>
        <v>0.24</v>
      </c>
      <c r="I31" s="37">
        <v>0</v>
      </c>
      <c r="J31" s="22">
        <f>C155</f>
        <v>1.3173494928204452</v>
      </c>
      <c r="K31" s="24">
        <f t="shared" si="15"/>
        <v>364.36800000000005</v>
      </c>
      <c r="L31" s="33">
        <f>(K31-G31)/G31</f>
        <v>-0.29069696</v>
      </c>
      <c r="M31" s="28">
        <f t="shared" si="14"/>
        <v>-149.33063013698631</v>
      </c>
      <c r="N31" s="29">
        <v>0.44</v>
      </c>
      <c r="O31" s="30">
        <f t="shared" ref="O31:O40" si="18">(N31+I31)*0.5</f>
        <v>0.22</v>
      </c>
      <c r="P31" s="34">
        <f t="shared" si="17"/>
        <v>-0.155</v>
      </c>
    </row>
    <row r="32" spans="1:16" x14ac:dyDescent="0.2">
      <c r="A32" s="20" t="s">
        <v>65</v>
      </c>
      <c r="B32" s="20" t="s">
        <v>66</v>
      </c>
      <c r="C32" s="21">
        <v>44396</v>
      </c>
      <c r="D32" s="20">
        <v>66</v>
      </c>
      <c r="E32" s="22">
        <v>1.5044</v>
      </c>
      <c r="F32" s="23">
        <v>0.72899999999999998</v>
      </c>
      <c r="G32" s="24">
        <v>0</v>
      </c>
      <c r="H32" s="35">
        <f>'[1]auto data'!J18</f>
        <v>0.39</v>
      </c>
      <c r="I32" s="37">
        <v>0</v>
      </c>
      <c r="J32" s="22">
        <f>C155</f>
        <v>1.3173494928204452</v>
      </c>
      <c r="K32" s="24">
        <f t="shared" si="15"/>
        <v>19.539234</v>
      </c>
      <c r="L32" s="38" t="s">
        <v>67</v>
      </c>
      <c r="M32" s="28">
        <f t="shared" si="14"/>
        <v>19.539234</v>
      </c>
      <c r="N32" s="29"/>
      <c r="O32" s="30"/>
      <c r="P32" s="34"/>
    </row>
    <row r="33" spans="1:16" x14ac:dyDescent="0.2">
      <c r="A33" s="20" t="s">
        <v>68</v>
      </c>
      <c r="B33" s="20" t="s">
        <v>69</v>
      </c>
      <c r="C33" s="21">
        <v>44438</v>
      </c>
      <c r="D33" s="20">
        <v>5000</v>
      </c>
      <c r="E33" s="22">
        <v>1.4879</v>
      </c>
      <c r="F33" s="39">
        <v>6.5000000000000002E-2</v>
      </c>
      <c r="G33" s="24">
        <f t="shared" ref="G33:G43" si="19">(F33*D33)/E33</f>
        <v>218.4286578399086</v>
      </c>
      <c r="H33" s="40">
        <f>'[1]auto data'!J37</f>
        <v>0.06</v>
      </c>
      <c r="I33" s="37">
        <v>0</v>
      </c>
      <c r="J33" s="22">
        <f>C155</f>
        <v>1.3173494928204452</v>
      </c>
      <c r="K33" s="24">
        <f t="shared" si="15"/>
        <v>227.73000000000002</v>
      </c>
      <c r="L33" s="27">
        <f t="shared" ref="L33:L43" si="20">(K33-G33)/G33</f>
        <v>4.2582975384615473E-2</v>
      </c>
      <c r="M33" s="28">
        <f t="shared" si="14"/>
        <v>9.3013421600914228</v>
      </c>
      <c r="N33" s="29">
        <v>6.5000000000000002E-2</v>
      </c>
      <c r="O33" s="30">
        <f t="shared" si="18"/>
        <v>3.2500000000000001E-2</v>
      </c>
      <c r="P33" s="34">
        <f t="shared" ref="P33:P43" si="21">O33-F33</f>
        <v>-3.2500000000000001E-2</v>
      </c>
    </row>
    <row r="34" spans="1:16" x14ac:dyDescent="0.2">
      <c r="A34" s="32" t="s">
        <v>70</v>
      </c>
      <c r="B34" s="20" t="s">
        <v>71</v>
      </c>
      <c r="C34" s="21">
        <v>44498</v>
      </c>
      <c r="D34" s="20">
        <v>600</v>
      </c>
      <c r="E34" s="22">
        <v>1.43</v>
      </c>
      <c r="F34" s="39">
        <v>1.34</v>
      </c>
      <c r="G34" s="24">
        <f t="shared" si="19"/>
        <v>562.23776223776224</v>
      </c>
      <c r="H34" s="40">
        <f>'[1]auto data'!J39</f>
        <v>0.55000000000000004</v>
      </c>
      <c r="I34" s="37">
        <v>0</v>
      </c>
      <c r="J34" s="22">
        <f>C155</f>
        <v>1.3173494928204452</v>
      </c>
      <c r="K34" s="24">
        <f t="shared" si="15"/>
        <v>250.50300000000004</v>
      </c>
      <c r="L34" s="33">
        <f t="shared" si="20"/>
        <v>-0.55445361940298499</v>
      </c>
      <c r="M34" s="28">
        <f t="shared" si="14"/>
        <v>-311.7347622377622</v>
      </c>
      <c r="N34" s="29">
        <v>1.5</v>
      </c>
      <c r="O34" s="30">
        <f t="shared" si="18"/>
        <v>0.75</v>
      </c>
      <c r="P34" s="34">
        <f t="shared" si="21"/>
        <v>-0.59000000000000008</v>
      </c>
    </row>
    <row r="35" spans="1:16" x14ac:dyDescent="0.2">
      <c r="A35" s="32" t="s">
        <v>72</v>
      </c>
      <c r="B35" s="20" t="s">
        <v>73</v>
      </c>
      <c r="C35" s="21">
        <v>44517</v>
      </c>
      <c r="D35" s="20">
        <v>4000</v>
      </c>
      <c r="E35" s="22">
        <v>1.3869</v>
      </c>
      <c r="F35" s="39">
        <v>0.184</v>
      </c>
      <c r="G35" s="24">
        <f t="shared" si="19"/>
        <v>530.67993366500832</v>
      </c>
      <c r="H35" s="40">
        <f>'[1]auto data'!J43</f>
        <v>0.14499999999999999</v>
      </c>
      <c r="I35" s="37">
        <v>0</v>
      </c>
      <c r="J35" s="22">
        <f>C155</f>
        <v>1.3173494928204452</v>
      </c>
      <c r="K35" s="24">
        <f t="shared" si="15"/>
        <v>440.27800000000002</v>
      </c>
      <c r="L35" s="33">
        <f t="shared" si="20"/>
        <v>-0.17035114375000002</v>
      </c>
      <c r="M35" s="28">
        <f t="shared" si="14"/>
        <v>-90.401933665008301</v>
      </c>
      <c r="N35" s="29">
        <v>0.27500000000000002</v>
      </c>
      <c r="O35" s="30">
        <f t="shared" si="18"/>
        <v>0.13750000000000001</v>
      </c>
      <c r="P35" s="34">
        <f t="shared" si="21"/>
        <v>-4.6499999999999986E-2</v>
      </c>
    </row>
    <row r="36" spans="1:16" x14ac:dyDescent="0.2">
      <c r="A36" s="32" t="s">
        <v>74</v>
      </c>
      <c r="B36" s="20" t="s">
        <v>75</v>
      </c>
      <c r="C36" s="21">
        <v>44621</v>
      </c>
      <c r="D36" s="20">
        <v>800</v>
      </c>
      <c r="E36" s="22">
        <v>1.4169</v>
      </c>
      <c r="F36" s="39">
        <v>0.9</v>
      </c>
      <c r="G36" s="24">
        <f t="shared" si="19"/>
        <v>508.15159856023712</v>
      </c>
      <c r="H36" s="40">
        <f>'[1]auto data'!W24</f>
        <v>0.52</v>
      </c>
      <c r="I36" s="37">
        <v>0</v>
      </c>
      <c r="J36" s="22">
        <f>C155</f>
        <v>1.3173494928204452</v>
      </c>
      <c r="K36" s="24">
        <f t="shared" si="15"/>
        <v>315.78560000000004</v>
      </c>
      <c r="L36" s="33">
        <f t="shared" si="20"/>
        <v>-0.37856025466666654</v>
      </c>
      <c r="M36" s="28">
        <f t="shared" si="14"/>
        <v>-192.36599856023707</v>
      </c>
      <c r="N36" s="29">
        <v>1.1200000000000001</v>
      </c>
      <c r="O36" s="30">
        <f t="shared" si="18"/>
        <v>0.56000000000000005</v>
      </c>
      <c r="P36" s="34">
        <f t="shared" si="21"/>
        <v>-0.33999999999999997</v>
      </c>
    </row>
    <row r="37" spans="1:16" x14ac:dyDescent="0.2">
      <c r="A37" s="20" t="s">
        <v>76</v>
      </c>
      <c r="B37" s="20" t="s">
        <v>77</v>
      </c>
      <c r="C37" s="21">
        <v>44628</v>
      </c>
      <c r="D37" s="20">
        <v>250</v>
      </c>
      <c r="E37" s="22">
        <v>1.4056999999999999</v>
      </c>
      <c r="F37" s="39">
        <v>1.25</v>
      </c>
      <c r="G37" s="24">
        <f t="shared" si="19"/>
        <v>222.30916980863628</v>
      </c>
      <c r="H37" s="40">
        <f>'[1]auto data'!W21</f>
        <v>1.24</v>
      </c>
      <c r="I37" s="37">
        <v>0</v>
      </c>
      <c r="J37" s="22">
        <f>C155</f>
        <v>1.3173494928204452</v>
      </c>
      <c r="K37" s="24">
        <f t="shared" si="15"/>
        <v>235.321</v>
      </c>
      <c r="L37" s="27">
        <f t="shared" si="20"/>
        <v>5.8530335039999909E-2</v>
      </c>
      <c r="M37" s="28">
        <f t="shared" si="14"/>
        <v>13.011830191363714</v>
      </c>
      <c r="N37" s="29">
        <v>1.25</v>
      </c>
      <c r="O37" s="30">
        <f t="shared" si="18"/>
        <v>0.625</v>
      </c>
      <c r="P37" s="34">
        <f t="shared" si="21"/>
        <v>-0.625</v>
      </c>
    </row>
    <row r="38" spans="1:16" x14ac:dyDescent="0.2">
      <c r="A38" s="32" t="s">
        <v>78</v>
      </c>
      <c r="B38" s="20" t="s">
        <v>79</v>
      </c>
      <c r="C38" s="21">
        <v>44628</v>
      </c>
      <c r="D38" s="20">
        <v>500</v>
      </c>
      <c r="E38" s="22">
        <v>1.0812999999999999</v>
      </c>
      <c r="F38" s="39">
        <v>0.81399999999999995</v>
      </c>
      <c r="G38" s="24">
        <f t="shared" si="19"/>
        <v>376.39877924720247</v>
      </c>
      <c r="H38" s="40">
        <f>'[1]auto data'!W25</f>
        <v>0.43</v>
      </c>
      <c r="I38" s="37">
        <v>0</v>
      </c>
      <c r="J38" s="22">
        <f>C154</f>
        <v>1.0185373803218578</v>
      </c>
      <c r="K38" s="24">
        <f t="shared" si="15"/>
        <v>211.08699999999999</v>
      </c>
      <c r="L38" s="33">
        <f t="shared" si="20"/>
        <v>-0.43919318648648653</v>
      </c>
      <c r="M38" s="28">
        <f t="shared" si="14"/>
        <v>-165.31177924720248</v>
      </c>
      <c r="N38" s="29">
        <v>0.93500000000000005</v>
      </c>
      <c r="O38" s="30">
        <f t="shared" si="18"/>
        <v>0.46750000000000003</v>
      </c>
      <c r="P38" s="34">
        <f t="shared" si="21"/>
        <v>-0.34649999999999992</v>
      </c>
    </row>
    <row r="39" spans="1:16" x14ac:dyDescent="0.2">
      <c r="A39" s="32" t="s">
        <v>80</v>
      </c>
      <c r="B39" s="20" t="s">
        <v>81</v>
      </c>
      <c r="C39" s="21">
        <v>44635</v>
      </c>
      <c r="D39" s="20">
        <v>300</v>
      </c>
      <c r="E39" s="22">
        <v>1.3724000000000001</v>
      </c>
      <c r="F39" s="39">
        <v>2.31</v>
      </c>
      <c r="G39" s="24">
        <f t="shared" si="19"/>
        <v>504.9548236665695</v>
      </c>
      <c r="H39" s="40">
        <f>'[1]auto data'!J44</f>
        <v>2.09</v>
      </c>
      <c r="I39" s="37">
        <v>0</v>
      </c>
      <c r="J39" s="22">
        <f>C155</f>
        <v>1.3173494928204452</v>
      </c>
      <c r="K39" s="24">
        <f t="shared" si="15"/>
        <v>475.95569999999998</v>
      </c>
      <c r="L39" s="33">
        <f t="shared" si="20"/>
        <v>-5.742914476190477E-2</v>
      </c>
      <c r="M39" s="28">
        <f t="shared" si="14"/>
        <v>-28.999123666569517</v>
      </c>
      <c r="N39" s="29">
        <v>2.77</v>
      </c>
      <c r="O39" s="30">
        <f t="shared" si="18"/>
        <v>1.385</v>
      </c>
      <c r="P39" s="34">
        <f t="shared" si="21"/>
        <v>-0.92500000000000004</v>
      </c>
    </row>
    <row r="40" spans="1:16" x14ac:dyDescent="0.2">
      <c r="A40" s="32" t="s">
        <v>82</v>
      </c>
      <c r="B40" s="20" t="s">
        <v>83</v>
      </c>
      <c r="C40" s="21">
        <v>44651</v>
      </c>
      <c r="D40" s="20">
        <v>2000</v>
      </c>
      <c r="E40" s="22">
        <v>1.3779999999999999</v>
      </c>
      <c r="F40" s="39">
        <v>0.38750000000000001</v>
      </c>
      <c r="G40" s="24">
        <f t="shared" si="19"/>
        <v>562.40928882438322</v>
      </c>
      <c r="H40" s="40">
        <f>'[1]auto data'!J45</f>
        <v>0.34</v>
      </c>
      <c r="I40" s="37">
        <v>0</v>
      </c>
      <c r="J40" s="22">
        <f>C155</f>
        <v>1.3173494928204452</v>
      </c>
      <c r="K40" s="24">
        <f t="shared" si="15"/>
        <v>516.1880000000001</v>
      </c>
      <c r="L40" s="33">
        <f t="shared" si="20"/>
        <v>-8.2184433548387018E-2</v>
      </c>
      <c r="M40" s="28">
        <f t="shared" si="14"/>
        <v>-46.221288824383123</v>
      </c>
      <c r="N40" s="29">
        <v>0.45</v>
      </c>
      <c r="O40" s="30">
        <f t="shared" si="18"/>
        <v>0.22500000000000001</v>
      </c>
      <c r="P40" s="34">
        <f t="shared" si="21"/>
        <v>-0.16250000000000001</v>
      </c>
    </row>
    <row r="41" spans="1:16" x14ac:dyDescent="0.2">
      <c r="A41" s="32" t="s">
        <v>84</v>
      </c>
      <c r="B41" s="20" t="s">
        <v>85</v>
      </c>
      <c r="C41" s="21">
        <v>44657</v>
      </c>
      <c r="D41" s="20">
        <v>500</v>
      </c>
      <c r="E41" s="22">
        <v>1.3677999999999999</v>
      </c>
      <c r="F41" s="39">
        <v>1.595</v>
      </c>
      <c r="G41" s="24">
        <f t="shared" si="19"/>
        <v>583.05307793537065</v>
      </c>
      <c r="H41" s="40">
        <f>'[1]auto data'!J46</f>
        <v>1.2</v>
      </c>
      <c r="I41" s="37">
        <v>0</v>
      </c>
      <c r="J41" s="22">
        <f>C155</f>
        <v>1.3173494928204452</v>
      </c>
      <c r="K41" s="24">
        <f t="shared" si="15"/>
        <v>455.46</v>
      </c>
      <c r="L41" s="33">
        <f t="shared" si="20"/>
        <v>-0.21883612789968654</v>
      </c>
      <c r="M41" s="28">
        <f t="shared" si="14"/>
        <v>-127.59307793537067</v>
      </c>
      <c r="N41" s="29">
        <v>1.75</v>
      </c>
      <c r="O41" s="30">
        <f>(N41+I41)*0.5</f>
        <v>0.875</v>
      </c>
      <c r="P41" s="34">
        <f t="shared" si="21"/>
        <v>-0.72</v>
      </c>
    </row>
    <row r="42" spans="1:16" x14ac:dyDescent="0.2">
      <c r="A42" s="20" t="s">
        <v>86</v>
      </c>
      <c r="B42" s="20" t="s">
        <v>87</v>
      </c>
      <c r="C42" s="21">
        <v>44676</v>
      </c>
      <c r="D42" s="20">
        <v>3000</v>
      </c>
      <c r="E42" s="22">
        <v>1.3337000000000001</v>
      </c>
      <c r="F42" s="39">
        <v>0.09</v>
      </c>
      <c r="G42" s="24">
        <f t="shared" si="19"/>
        <v>202.44432780985227</v>
      </c>
      <c r="H42" s="40">
        <f>'[1]auto data'!J47</f>
        <v>8.5000000000000006E-2</v>
      </c>
      <c r="I42" s="37">
        <v>0</v>
      </c>
      <c r="J42" s="22">
        <f>C155</f>
        <v>1.3173494928204452</v>
      </c>
      <c r="K42" s="24">
        <f t="shared" si="15"/>
        <v>193.57050000000004</v>
      </c>
      <c r="L42" s="33">
        <f t="shared" si="20"/>
        <v>-4.3833422777777485E-2</v>
      </c>
      <c r="M42" s="28">
        <f t="shared" si="14"/>
        <v>-8.8738278098522301</v>
      </c>
      <c r="N42" s="29">
        <v>0.11</v>
      </c>
      <c r="O42" s="30">
        <f>(N42+I42)*0.5</f>
        <v>5.5E-2</v>
      </c>
      <c r="P42" s="34">
        <f t="shared" si="21"/>
        <v>-3.4999999999999996E-2</v>
      </c>
    </row>
    <row r="43" spans="1:16" x14ac:dyDescent="0.2">
      <c r="A43" s="20" t="s">
        <v>88</v>
      </c>
      <c r="B43" s="20" t="s">
        <v>89</v>
      </c>
      <c r="C43" s="21">
        <v>44712</v>
      </c>
      <c r="D43" s="20">
        <v>500</v>
      </c>
      <c r="E43" s="22">
        <v>1.3587</v>
      </c>
      <c r="F43" s="39">
        <v>0.57999999999999996</v>
      </c>
      <c r="G43" s="24">
        <f t="shared" si="19"/>
        <v>213.43931699418562</v>
      </c>
      <c r="H43" s="40">
        <f>'[1]auto data'!J41</f>
        <v>0.73</v>
      </c>
      <c r="I43" s="37">
        <v>0</v>
      </c>
      <c r="J43" s="22">
        <f>C155</f>
        <v>1.3173494928204452</v>
      </c>
      <c r="K43" s="24">
        <f t="shared" si="15"/>
        <v>277.07150000000001</v>
      </c>
      <c r="L43" s="27">
        <f t="shared" si="20"/>
        <v>0.29812774844827594</v>
      </c>
      <c r="M43" s="28">
        <f t="shared" si="14"/>
        <v>63.632183005814397</v>
      </c>
      <c r="N43" s="29">
        <v>0.62</v>
      </c>
      <c r="O43" s="30">
        <f>(N43+I43)*0.5</f>
        <v>0.31</v>
      </c>
      <c r="P43" s="34">
        <f t="shared" si="21"/>
        <v>-0.26999999999999996</v>
      </c>
    </row>
    <row r="44" spans="1:16" x14ac:dyDescent="0.2">
      <c r="A44" s="2" t="s">
        <v>90</v>
      </c>
      <c r="B44" s="3"/>
      <c r="C44" s="3"/>
      <c r="D44" s="3"/>
      <c r="E44" s="3"/>
      <c r="F44" s="4"/>
      <c r="G44" s="5"/>
      <c r="H44" s="6"/>
      <c r="I44" s="6"/>
      <c r="J44" s="6"/>
      <c r="K44" s="7"/>
      <c r="L44" s="8" t="s">
        <v>1</v>
      </c>
      <c r="M44" s="9">
        <f>SUM(K46:K55)</f>
        <v>15964.676542000001</v>
      </c>
      <c r="N44" s="10"/>
      <c r="O44" s="11"/>
      <c r="P44" s="12">
        <f>M44/P159</f>
        <v>0.27056319818135344</v>
      </c>
    </row>
    <row r="45" spans="1:16" x14ac:dyDescent="0.2">
      <c r="A45" s="13" t="s">
        <v>2</v>
      </c>
      <c r="B45" s="13" t="s">
        <v>3</v>
      </c>
      <c r="C45" s="14" t="s">
        <v>4</v>
      </c>
      <c r="D45" s="13" t="s">
        <v>5</v>
      </c>
      <c r="E45" s="15" t="s">
        <v>6</v>
      </c>
      <c r="F45" s="13" t="s">
        <v>7</v>
      </c>
      <c r="G45" s="13" t="s">
        <v>8</v>
      </c>
      <c r="H45" s="16" t="s">
        <v>9</v>
      </c>
      <c r="I45" s="13" t="s">
        <v>10</v>
      </c>
      <c r="J45" s="15" t="s">
        <v>11</v>
      </c>
      <c r="K45" s="13" t="s">
        <v>12</v>
      </c>
      <c r="L45" s="13" t="s">
        <v>13</v>
      </c>
      <c r="M45" s="17" t="s">
        <v>14</v>
      </c>
      <c r="N45" s="18" t="s">
        <v>15</v>
      </c>
      <c r="O45" s="19" t="s">
        <v>16</v>
      </c>
      <c r="P45" s="17" t="s">
        <v>17</v>
      </c>
    </row>
    <row r="46" spans="1:16" x14ac:dyDescent="0.2">
      <c r="A46" s="20" t="s">
        <v>91</v>
      </c>
      <c r="B46" s="20" t="s">
        <v>92</v>
      </c>
      <c r="C46" s="21">
        <v>43906</v>
      </c>
      <c r="D46" s="20">
        <v>900</v>
      </c>
      <c r="E46" s="22">
        <v>1.1200000000000001</v>
      </c>
      <c r="F46" s="23">
        <v>2.5</v>
      </c>
      <c r="G46" s="24">
        <f t="shared" si="0"/>
        <v>2008.9285714285713</v>
      </c>
      <c r="H46" s="41">
        <f>'[1]auto data'!G3</f>
        <v>3.51</v>
      </c>
      <c r="I46" s="26">
        <f>[1]Dividend!P4</f>
        <v>0.89999999999999991</v>
      </c>
      <c r="J46" s="22">
        <f>C154</f>
        <v>1.0185373803218578</v>
      </c>
      <c r="K46" s="24">
        <f t="shared" ref="K46:K51" si="22">((H46+I46)/J46)*D46</f>
        <v>3896.7642000000001</v>
      </c>
      <c r="L46" s="27">
        <f t="shared" ref="L46:L52" si="23">(K46-G46)/G46</f>
        <v>0.93972262400000017</v>
      </c>
      <c r="M46" s="28">
        <f t="shared" si="11"/>
        <v>1887.8356285714287</v>
      </c>
      <c r="N46" s="29">
        <v>4.25</v>
      </c>
      <c r="O46" s="30">
        <f t="shared" ref="O46:O48" si="24">(N46+I46)*0.75</f>
        <v>3.8625000000000003</v>
      </c>
      <c r="P46" s="31">
        <f t="shared" ref="P46:P52" si="25">O46-F46</f>
        <v>1.3625000000000003</v>
      </c>
    </row>
    <row r="47" spans="1:16" x14ac:dyDescent="0.2">
      <c r="A47" s="20" t="s">
        <v>93</v>
      </c>
      <c r="B47" s="20" t="s">
        <v>94</v>
      </c>
      <c r="C47" s="21">
        <v>44137</v>
      </c>
      <c r="D47" s="20">
        <v>30</v>
      </c>
      <c r="E47" s="22">
        <v>1.1639999999999999</v>
      </c>
      <c r="F47" s="23">
        <v>36.47</v>
      </c>
      <c r="G47" s="24">
        <f t="shared" si="0"/>
        <v>939.94845360824741</v>
      </c>
      <c r="H47" s="41">
        <f>'[1]auto data'!G5</f>
        <v>44.1</v>
      </c>
      <c r="I47" s="26">
        <f>[1]Dividend!P6</f>
        <v>6.18</v>
      </c>
      <c r="J47" s="22">
        <f>C154</f>
        <v>1.0185373803218578</v>
      </c>
      <c r="K47" s="24">
        <f t="shared" si="22"/>
        <v>1480.94712</v>
      </c>
      <c r="L47" s="27">
        <f t="shared" si="23"/>
        <v>0.5755620580202907</v>
      </c>
      <c r="M47" s="28">
        <f t="shared" si="11"/>
        <v>540.99866639175264</v>
      </c>
      <c r="N47" s="29">
        <v>55.37</v>
      </c>
      <c r="O47" s="30">
        <f t="shared" si="24"/>
        <v>46.162499999999994</v>
      </c>
      <c r="P47" s="31">
        <f t="shared" si="25"/>
        <v>9.6924999999999955</v>
      </c>
    </row>
    <row r="48" spans="1:16" x14ac:dyDescent="0.2">
      <c r="A48" s="20" t="s">
        <v>95</v>
      </c>
      <c r="B48" s="20" t="s">
        <v>96</v>
      </c>
      <c r="C48" s="21">
        <v>44403</v>
      </c>
      <c r="D48" s="20">
        <v>100</v>
      </c>
      <c r="E48" s="22">
        <v>1</v>
      </c>
      <c r="F48" s="23">
        <v>16.3</v>
      </c>
      <c r="G48" s="24">
        <f t="shared" si="0"/>
        <v>1630</v>
      </c>
      <c r="H48" s="41">
        <f>'[1]auto data'!G7</f>
        <v>25.52</v>
      </c>
      <c r="I48" s="26">
        <f>[1]Dividend!P9</f>
        <v>1.21</v>
      </c>
      <c r="J48" s="22">
        <v>1</v>
      </c>
      <c r="K48" s="24">
        <f t="shared" si="22"/>
        <v>2673</v>
      </c>
      <c r="L48" s="27">
        <f t="shared" si="23"/>
        <v>0.6398773006134969</v>
      </c>
      <c r="M48" s="28">
        <f t="shared" si="11"/>
        <v>1043</v>
      </c>
      <c r="N48" s="42">
        <v>28.03</v>
      </c>
      <c r="O48" s="30">
        <f t="shared" si="24"/>
        <v>21.93</v>
      </c>
      <c r="P48" s="31">
        <f t="shared" si="25"/>
        <v>5.629999999999999</v>
      </c>
    </row>
    <row r="49" spans="1:16" x14ac:dyDescent="0.2">
      <c r="A49" s="20" t="s">
        <v>97</v>
      </c>
      <c r="B49" s="20" t="s">
        <v>98</v>
      </c>
      <c r="C49" s="21">
        <v>44648</v>
      </c>
      <c r="D49" s="20">
        <v>12</v>
      </c>
      <c r="E49" s="22">
        <v>1.0988</v>
      </c>
      <c r="F49" s="23">
        <v>51.5</v>
      </c>
      <c r="G49" s="24">
        <f t="shared" si="0"/>
        <v>562.43174372042233</v>
      </c>
      <c r="H49" s="41">
        <f>'[1]auto data'!G8</f>
        <v>53.73</v>
      </c>
      <c r="I49" s="26">
        <f>[1]Dividend!P13</f>
        <v>2</v>
      </c>
      <c r="J49" s="22">
        <f>C154</f>
        <v>1.0185373803218578</v>
      </c>
      <c r="K49" s="24">
        <f>((H49+I49)/J49)*D49</f>
        <v>656.58856800000001</v>
      </c>
      <c r="L49" s="27">
        <f t="shared" si="23"/>
        <v>0.16741022413980572</v>
      </c>
      <c r="M49" s="28">
        <f t="shared" si="11"/>
        <v>94.156824279577677</v>
      </c>
      <c r="N49" s="42">
        <v>53.8</v>
      </c>
      <c r="O49" s="30">
        <f>(N49+I49)*0.75</f>
        <v>41.849999999999994</v>
      </c>
      <c r="P49" s="34">
        <f t="shared" si="25"/>
        <v>-9.6500000000000057</v>
      </c>
    </row>
    <row r="50" spans="1:16" x14ac:dyDescent="0.2">
      <c r="A50" s="20" t="s">
        <v>99</v>
      </c>
      <c r="B50" s="20" t="s">
        <v>100</v>
      </c>
      <c r="C50" s="21">
        <v>44651</v>
      </c>
      <c r="D50" s="20">
        <v>150</v>
      </c>
      <c r="E50" s="22">
        <v>1.0618000000000001</v>
      </c>
      <c r="F50" s="29">
        <v>16.25</v>
      </c>
      <c r="G50" s="24">
        <f>(F50*D50)/E50</f>
        <v>2295.6300621585983</v>
      </c>
      <c r="H50" s="43">
        <f>'[1]auto data'!W27</f>
        <v>13.2</v>
      </c>
      <c r="I50" s="20">
        <v>0</v>
      </c>
      <c r="J50" s="22">
        <f>C154</f>
        <v>1.0185373803218578</v>
      </c>
      <c r="K50" s="24">
        <f>((H50+I50)/J50)*D50</f>
        <v>1943.9639999999999</v>
      </c>
      <c r="L50" s="33">
        <f t="shared" si="23"/>
        <v>-0.15318934350769223</v>
      </c>
      <c r="M50" s="28">
        <f t="shared" si="11"/>
        <v>-351.66606215859838</v>
      </c>
      <c r="N50" s="29">
        <v>20.83</v>
      </c>
      <c r="O50" s="30">
        <f>(N50+I50)*0.75</f>
        <v>15.622499999999999</v>
      </c>
      <c r="P50" s="34">
        <f t="shared" si="25"/>
        <v>-0.62750000000000128</v>
      </c>
    </row>
    <row r="51" spans="1:16" x14ac:dyDescent="0.2">
      <c r="A51" s="20" t="s">
        <v>101</v>
      </c>
      <c r="B51" s="20" t="s">
        <v>102</v>
      </c>
      <c r="C51" s="21">
        <v>44678</v>
      </c>
      <c r="D51" s="20">
        <v>30</v>
      </c>
      <c r="E51" s="22">
        <v>1.0464</v>
      </c>
      <c r="F51" s="23">
        <v>66.599999999999994</v>
      </c>
      <c r="G51" s="24">
        <f t="shared" si="0"/>
        <v>1909.4036697247705</v>
      </c>
      <c r="H51" s="41">
        <f>'[1]auto data'!W11</f>
        <v>60.69</v>
      </c>
      <c r="I51" s="26">
        <v>0</v>
      </c>
      <c r="J51" s="22">
        <f>C154</f>
        <v>1.0185373803218578</v>
      </c>
      <c r="K51" s="24">
        <f t="shared" si="22"/>
        <v>1787.5632599999999</v>
      </c>
      <c r="L51" s="33">
        <f t="shared" si="23"/>
        <v>-6.3810713081081036E-2</v>
      </c>
      <c r="M51" s="28">
        <f t="shared" si="11"/>
        <v>-121.84040972477055</v>
      </c>
      <c r="N51" s="42">
        <v>73.19</v>
      </c>
      <c r="O51" s="30">
        <f t="shared" ref="O51:O52" si="26">(N51+I51)*0.75</f>
        <v>54.892499999999998</v>
      </c>
      <c r="P51" s="34">
        <f t="shared" si="25"/>
        <v>-11.707499999999996</v>
      </c>
    </row>
    <row r="52" spans="1:16" x14ac:dyDescent="0.2">
      <c r="A52" s="20" t="s">
        <v>103</v>
      </c>
      <c r="B52" s="20" t="s">
        <v>104</v>
      </c>
      <c r="C52" s="21">
        <v>44678</v>
      </c>
      <c r="D52" s="20">
        <v>30</v>
      </c>
      <c r="E52" s="22">
        <v>1.0464</v>
      </c>
      <c r="F52" s="23">
        <v>62.12</v>
      </c>
      <c r="G52" s="24">
        <f t="shared" si="0"/>
        <v>1780.9633027522934</v>
      </c>
      <c r="H52" s="41">
        <f>'[1]auto data'!W10</f>
        <v>54.4</v>
      </c>
      <c r="I52" s="26">
        <v>0</v>
      </c>
      <c r="J52" s="22">
        <f>C154</f>
        <v>1.0185373803218578</v>
      </c>
      <c r="K52" s="24">
        <f>((H52+I52)/J52)*D52</f>
        <v>1602.2975999999999</v>
      </c>
      <c r="L52" s="33">
        <f t="shared" si="23"/>
        <v>-0.10031969916291049</v>
      </c>
      <c r="M52" s="28">
        <f t="shared" si="11"/>
        <v>-178.66570275229356</v>
      </c>
      <c r="N52" s="42">
        <v>71.02</v>
      </c>
      <c r="O52" s="30">
        <f t="shared" si="26"/>
        <v>53.265000000000001</v>
      </c>
      <c r="P52" s="34">
        <f t="shared" si="25"/>
        <v>-8.8549999999999969</v>
      </c>
    </row>
    <row r="53" spans="1:16" x14ac:dyDescent="0.2">
      <c r="A53" s="20" t="s">
        <v>105</v>
      </c>
      <c r="B53" s="20" t="s">
        <v>106</v>
      </c>
      <c r="C53" s="21">
        <v>44714</v>
      </c>
      <c r="D53" s="20">
        <v>7</v>
      </c>
      <c r="E53" s="22">
        <v>1.0722</v>
      </c>
      <c r="F53" s="23">
        <v>0</v>
      </c>
      <c r="G53" s="24">
        <f t="shared" si="0"/>
        <v>0</v>
      </c>
      <c r="H53" s="41">
        <f>'[1]auto data'!G9</f>
        <v>21.44</v>
      </c>
      <c r="I53" s="26">
        <v>0</v>
      </c>
      <c r="J53" s="22">
        <f>C154</f>
        <v>1.0185373803218578</v>
      </c>
      <c r="K53" s="24">
        <f>((H53+I53)/J53)*D53</f>
        <v>147.348544</v>
      </c>
      <c r="L53" s="38" t="s">
        <v>107</v>
      </c>
      <c r="M53" s="28">
        <f>K53-G53</f>
        <v>147.348544</v>
      </c>
      <c r="N53" s="42"/>
      <c r="O53" s="30"/>
      <c r="P53" s="34"/>
    </row>
    <row r="54" spans="1:16" x14ac:dyDescent="0.2">
      <c r="A54" s="20" t="s">
        <v>108</v>
      </c>
      <c r="B54" s="20" t="s">
        <v>109</v>
      </c>
      <c r="C54" s="21">
        <v>44729</v>
      </c>
      <c r="D54" s="20">
        <v>100</v>
      </c>
      <c r="E54" s="22">
        <v>1.3684000000000001</v>
      </c>
      <c r="F54" s="26">
        <v>12.61</v>
      </c>
      <c r="G54" s="24">
        <f>(F54*D54)/E54</f>
        <v>921.51417714118679</v>
      </c>
      <c r="H54" s="43">
        <f>'[1]auto data'!G10</f>
        <v>13.49</v>
      </c>
      <c r="I54" s="26">
        <f>[1]Dividend!P15</f>
        <v>0.16</v>
      </c>
      <c r="J54" s="22">
        <f>C155</f>
        <v>1.3173494928204452</v>
      </c>
      <c r="K54" s="24">
        <f>((H54+I54)/J54)*D54</f>
        <v>1036.1714999999999</v>
      </c>
      <c r="L54" s="27">
        <f t="shared" ref="L54:L55" si="27">(K54-G54)/G54</f>
        <v>0.12442274432989682</v>
      </c>
      <c r="M54" s="28">
        <f t="shared" ref="M54:M55" si="28">K54-G54</f>
        <v>114.65732285881313</v>
      </c>
      <c r="N54" s="29">
        <v>13.84</v>
      </c>
      <c r="O54" s="30">
        <f>(N54+I54)*0.75</f>
        <v>10.5</v>
      </c>
      <c r="P54" s="34">
        <f t="shared" ref="P54:P55" si="29">O54-F54</f>
        <v>-2.1099999999999994</v>
      </c>
    </row>
    <row r="55" spans="1:16" x14ac:dyDescent="0.2">
      <c r="A55" s="20" t="s">
        <v>110</v>
      </c>
      <c r="B55" s="20" t="s">
        <v>111</v>
      </c>
      <c r="C55" s="21">
        <v>44733</v>
      </c>
      <c r="D55" s="20">
        <v>25</v>
      </c>
      <c r="E55" s="22">
        <v>1.0536000000000001</v>
      </c>
      <c r="F55" s="26">
        <v>28.905000000000001</v>
      </c>
      <c r="G55" s="24">
        <f>(F55*D55)/E55</f>
        <v>685.86275626423685</v>
      </c>
      <c r="H55" s="43">
        <f>'[1]auto data'!G11</f>
        <v>30.15</v>
      </c>
      <c r="I55" s="20">
        <v>0</v>
      </c>
      <c r="J55" s="22">
        <f>C154</f>
        <v>1.0185373803218578</v>
      </c>
      <c r="K55" s="24">
        <f>((H55+I55)/J55)*D55</f>
        <v>740.03174999999999</v>
      </c>
      <c r="L55" s="27">
        <f t="shared" si="27"/>
        <v>7.8979348624805462E-2</v>
      </c>
      <c r="M55" s="28">
        <f t="shared" si="28"/>
        <v>54.168993735763138</v>
      </c>
      <c r="N55" s="29">
        <v>32.51</v>
      </c>
      <c r="O55" s="30">
        <f>(N55+I55)*0.75</f>
        <v>24.3825</v>
      </c>
      <c r="P55" s="34">
        <f t="shared" si="29"/>
        <v>-4.5225000000000009</v>
      </c>
    </row>
    <row r="56" spans="1:16" x14ac:dyDescent="0.2">
      <c r="A56" s="2" t="s">
        <v>112</v>
      </c>
      <c r="B56" s="3"/>
      <c r="C56" s="3"/>
      <c r="D56" s="3"/>
      <c r="E56" s="3"/>
      <c r="F56" s="4"/>
      <c r="G56" s="44"/>
      <c r="H56" s="45"/>
      <c r="I56" s="45"/>
      <c r="J56" s="45"/>
      <c r="K56" s="46"/>
      <c r="L56" s="8" t="s">
        <v>1</v>
      </c>
      <c r="M56" s="9">
        <f>SUM(K58:K71)</f>
        <v>4343.5615279999993</v>
      </c>
      <c r="N56" s="10"/>
      <c r="O56" s="11"/>
      <c r="P56" s="12">
        <f>M56/P159</f>
        <v>7.3613010286893044E-2</v>
      </c>
    </row>
    <row r="57" spans="1:16" x14ac:dyDescent="0.2">
      <c r="A57" s="13" t="s">
        <v>2</v>
      </c>
      <c r="B57" s="13" t="s">
        <v>3</v>
      </c>
      <c r="C57" s="14" t="s">
        <v>4</v>
      </c>
      <c r="D57" s="13" t="s">
        <v>5</v>
      </c>
      <c r="E57" s="15" t="s">
        <v>6</v>
      </c>
      <c r="F57" s="13" t="s">
        <v>7</v>
      </c>
      <c r="G57" s="13" t="s">
        <v>8</v>
      </c>
      <c r="H57" s="16" t="s">
        <v>9</v>
      </c>
      <c r="I57" s="13" t="s">
        <v>10</v>
      </c>
      <c r="J57" s="15" t="s">
        <v>11</v>
      </c>
      <c r="K57" s="13" t="s">
        <v>12</v>
      </c>
      <c r="L57" s="13" t="s">
        <v>13</v>
      </c>
      <c r="M57" s="17" t="s">
        <v>14</v>
      </c>
      <c r="N57" s="18" t="s">
        <v>15</v>
      </c>
      <c r="O57" s="19" t="s">
        <v>16</v>
      </c>
      <c r="P57" s="17" t="s">
        <v>17</v>
      </c>
    </row>
    <row r="58" spans="1:16" x14ac:dyDescent="0.2">
      <c r="A58" s="20" t="s">
        <v>113</v>
      </c>
      <c r="B58" s="20" t="s">
        <v>114</v>
      </c>
      <c r="C58" s="21">
        <v>44285</v>
      </c>
      <c r="D58" s="20">
        <v>300</v>
      </c>
      <c r="E58" s="22">
        <v>1.48</v>
      </c>
      <c r="F58" s="23">
        <v>1.115</v>
      </c>
      <c r="G58" s="24">
        <f t="shared" si="0"/>
        <v>226.01351351351352</v>
      </c>
      <c r="H58" s="47">
        <f>'[1]auto data'!M8</f>
        <v>1.43</v>
      </c>
      <c r="I58" s="20">
        <v>0</v>
      </c>
      <c r="J58" s="22">
        <f>C155</f>
        <v>1.3173494928204452</v>
      </c>
      <c r="K58" s="24">
        <f t="shared" ref="K58:K71" si="30">((H58+I58)/J58)*D58</f>
        <v>325.65389999999996</v>
      </c>
      <c r="L58" s="27">
        <f t="shared" ref="L58:L71" si="31">(K58-G58)/G58</f>
        <v>0.44086030493273526</v>
      </c>
      <c r="M58" s="28">
        <f t="shared" ref="M58:M71" si="32">K58-G58</f>
        <v>99.640386486486449</v>
      </c>
      <c r="N58" s="29">
        <v>2</v>
      </c>
      <c r="O58" s="30">
        <f t="shared" ref="O58:O71" si="33">(N58+I58)*0.5</f>
        <v>1</v>
      </c>
      <c r="P58" s="34">
        <f t="shared" ref="P58:P71" si="34">O58-F58</f>
        <v>-0.11499999999999999</v>
      </c>
    </row>
    <row r="59" spans="1:16" x14ac:dyDescent="0.2">
      <c r="A59" s="20" t="s">
        <v>115</v>
      </c>
      <c r="B59" s="20" t="s">
        <v>116</v>
      </c>
      <c r="C59" s="21">
        <v>44354</v>
      </c>
      <c r="D59" s="20">
        <v>1000</v>
      </c>
      <c r="E59" s="22">
        <v>1.405</v>
      </c>
      <c r="F59" s="23">
        <v>0.35375000000000001</v>
      </c>
      <c r="G59" s="24">
        <f t="shared" si="0"/>
        <v>251.77935943060498</v>
      </c>
      <c r="H59" s="47">
        <f>'[1]auto data'!M13</f>
        <v>0.48</v>
      </c>
      <c r="I59" s="20">
        <v>0</v>
      </c>
      <c r="J59" s="22">
        <f>C155</f>
        <v>1.3173494928204452</v>
      </c>
      <c r="K59" s="24">
        <f t="shared" si="30"/>
        <v>364.36800000000005</v>
      </c>
      <c r="L59" s="27">
        <f t="shared" si="31"/>
        <v>0.44717184452296838</v>
      </c>
      <c r="M59" s="28">
        <f t="shared" si="32"/>
        <v>112.58864056939507</v>
      </c>
      <c r="N59" s="29">
        <v>0.52</v>
      </c>
      <c r="O59" s="30">
        <f t="shared" si="33"/>
        <v>0.26</v>
      </c>
      <c r="P59" s="34">
        <f t="shared" si="34"/>
        <v>-9.375E-2</v>
      </c>
    </row>
    <row r="60" spans="1:16" x14ac:dyDescent="0.2">
      <c r="A60" s="20" t="s">
        <v>117</v>
      </c>
      <c r="B60" s="20" t="s">
        <v>118</v>
      </c>
      <c r="C60" s="21">
        <v>44459</v>
      </c>
      <c r="D60" s="20">
        <v>400</v>
      </c>
      <c r="E60" s="22">
        <v>1.4643999999999999</v>
      </c>
      <c r="F60" s="23">
        <v>0.82</v>
      </c>
      <c r="G60" s="24">
        <f t="shared" si="0"/>
        <v>223.98251843758538</v>
      </c>
      <c r="H60" s="47">
        <f>'[1]auto data'!M9</f>
        <v>0.75</v>
      </c>
      <c r="I60" s="20">
        <v>0</v>
      </c>
      <c r="J60" s="22">
        <f>C155</f>
        <v>1.3173494928204452</v>
      </c>
      <c r="K60" s="24">
        <f t="shared" si="30"/>
        <v>227.73</v>
      </c>
      <c r="L60" s="48">
        <f t="shared" si="31"/>
        <v>1.6731134146341305E-2</v>
      </c>
      <c r="M60" s="28">
        <f t="shared" si="32"/>
        <v>3.7474815624146061</v>
      </c>
      <c r="N60" s="29">
        <v>1.1499999999999999</v>
      </c>
      <c r="O60" s="30">
        <f t="shared" si="33"/>
        <v>0.57499999999999996</v>
      </c>
      <c r="P60" s="34">
        <f t="shared" si="34"/>
        <v>-0.245</v>
      </c>
    </row>
    <row r="61" spans="1:16" x14ac:dyDescent="0.2">
      <c r="A61" s="20" t="s">
        <v>119</v>
      </c>
      <c r="B61" s="20" t="s">
        <v>120</v>
      </c>
      <c r="C61" s="21">
        <v>44466</v>
      </c>
      <c r="D61" s="20">
        <v>800</v>
      </c>
      <c r="E61" s="22">
        <v>1.4795</v>
      </c>
      <c r="F61" s="23">
        <v>0.48</v>
      </c>
      <c r="G61" s="24">
        <f t="shared" si="0"/>
        <v>259.5471443055086</v>
      </c>
      <c r="H61" s="47">
        <f>'[1]auto data'!M11</f>
        <v>0.36</v>
      </c>
      <c r="I61" s="20">
        <v>0</v>
      </c>
      <c r="J61" s="22">
        <f>C155</f>
        <v>1.3173494928204452</v>
      </c>
      <c r="K61" s="24">
        <f t="shared" si="30"/>
        <v>218.6208</v>
      </c>
      <c r="L61" s="33">
        <f t="shared" si="31"/>
        <v>-0.1576836624999999</v>
      </c>
      <c r="M61" s="28">
        <f t="shared" si="32"/>
        <v>-40.926344305508593</v>
      </c>
      <c r="N61" s="29">
        <v>0.8</v>
      </c>
      <c r="O61" s="30">
        <f t="shared" si="33"/>
        <v>0.4</v>
      </c>
      <c r="P61" s="34">
        <f t="shared" si="34"/>
        <v>-7.999999999999996E-2</v>
      </c>
    </row>
    <row r="62" spans="1:16" x14ac:dyDescent="0.2">
      <c r="A62" s="32" t="s">
        <v>121</v>
      </c>
      <c r="B62" s="20" t="s">
        <v>122</v>
      </c>
      <c r="C62" s="21">
        <v>44469</v>
      </c>
      <c r="D62" s="20">
        <v>1000</v>
      </c>
      <c r="E62" s="22">
        <v>1.5638000000000001</v>
      </c>
      <c r="F62" s="23">
        <v>0.83</v>
      </c>
      <c r="G62" s="24">
        <f t="shared" si="0"/>
        <v>530.75840900370883</v>
      </c>
      <c r="H62" s="47">
        <f>'[1]auto data'!M14</f>
        <v>0.78</v>
      </c>
      <c r="I62" s="20">
        <v>0</v>
      </c>
      <c r="J62" s="22">
        <f>C156</f>
        <v>1.4740566037735849</v>
      </c>
      <c r="K62" s="24">
        <f t="shared" si="30"/>
        <v>529.15199999999993</v>
      </c>
      <c r="L62" s="33">
        <f t="shared" si="31"/>
        <v>-3.0266293975903438E-3</v>
      </c>
      <c r="M62" s="28">
        <f t="shared" si="32"/>
        <v>-1.6064090037089045</v>
      </c>
      <c r="N62" s="29">
        <v>1.1399999999999999</v>
      </c>
      <c r="O62" s="30">
        <f t="shared" si="33"/>
        <v>0.56999999999999995</v>
      </c>
      <c r="P62" s="34">
        <f t="shared" si="34"/>
        <v>-0.26</v>
      </c>
    </row>
    <row r="63" spans="1:16" x14ac:dyDescent="0.2">
      <c r="A63" s="20" t="s">
        <v>123</v>
      </c>
      <c r="B63" s="20" t="s">
        <v>124</v>
      </c>
      <c r="C63" s="21">
        <v>44481</v>
      </c>
      <c r="D63" s="20">
        <v>150</v>
      </c>
      <c r="E63" s="22">
        <v>1.397</v>
      </c>
      <c r="F63" s="23">
        <v>2.3450000000000002</v>
      </c>
      <c r="G63" s="24">
        <f t="shared" si="0"/>
        <v>251.78954903364357</v>
      </c>
      <c r="H63" s="47">
        <f>'[1]auto data'!M15</f>
        <v>1.99</v>
      </c>
      <c r="I63" s="20">
        <v>0</v>
      </c>
      <c r="J63" s="22">
        <f>C155</f>
        <v>1.3173494928204452</v>
      </c>
      <c r="K63" s="24">
        <f t="shared" si="30"/>
        <v>226.59135000000001</v>
      </c>
      <c r="L63" s="33">
        <f t="shared" si="31"/>
        <v>-0.10007642942430718</v>
      </c>
      <c r="M63" s="28">
        <f t="shared" si="32"/>
        <v>-25.198199033643562</v>
      </c>
      <c r="N63" s="29">
        <v>2.85</v>
      </c>
      <c r="O63" s="30">
        <f t="shared" si="33"/>
        <v>1.425</v>
      </c>
      <c r="P63" s="34">
        <f t="shared" si="34"/>
        <v>-0.92000000000000015</v>
      </c>
    </row>
    <row r="64" spans="1:16" x14ac:dyDescent="0.2">
      <c r="A64" s="20" t="s">
        <v>125</v>
      </c>
      <c r="B64" s="20" t="s">
        <v>126</v>
      </c>
      <c r="C64" s="21">
        <v>44627</v>
      </c>
      <c r="D64" s="20">
        <v>42</v>
      </c>
      <c r="E64" s="22">
        <v>1.4056999999999999</v>
      </c>
      <c r="F64" s="23">
        <v>0.8</v>
      </c>
      <c r="G64" s="24">
        <f t="shared" si="0"/>
        <v>23.902681937824575</v>
      </c>
      <c r="H64" s="47">
        <v>0.99</v>
      </c>
      <c r="I64" s="20">
        <v>0</v>
      </c>
      <c r="J64" s="22">
        <f>C155</f>
        <v>1.3173494928204452</v>
      </c>
      <c r="K64" s="24">
        <f t="shared" si="30"/>
        <v>31.563378</v>
      </c>
      <c r="L64" s="27">
        <f t="shared" si="31"/>
        <v>0.32049525162499981</v>
      </c>
      <c r="M64" s="28">
        <f t="shared" si="32"/>
        <v>7.6606960621754254</v>
      </c>
      <c r="N64" s="29">
        <v>1.1499999999999999</v>
      </c>
      <c r="O64" s="30">
        <f t="shared" si="33"/>
        <v>0.57499999999999996</v>
      </c>
      <c r="P64" s="34">
        <f t="shared" si="34"/>
        <v>-0.22500000000000009</v>
      </c>
    </row>
    <row r="65" spans="1:16" x14ac:dyDescent="0.2">
      <c r="A65" s="36" t="s">
        <v>127</v>
      </c>
      <c r="B65" s="20" t="s">
        <v>128</v>
      </c>
      <c r="C65" s="21">
        <v>44488</v>
      </c>
      <c r="D65" s="20">
        <v>1000</v>
      </c>
      <c r="E65" s="22">
        <v>1.4415</v>
      </c>
      <c r="F65" s="23">
        <v>0.315</v>
      </c>
      <c r="G65" s="24">
        <f t="shared" si="0"/>
        <v>218.52237252861602</v>
      </c>
      <c r="H65" s="47">
        <f>'[1]auto data'!M16</f>
        <v>0.23499999999999999</v>
      </c>
      <c r="I65" s="20">
        <v>0</v>
      </c>
      <c r="J65" s="22">
        <f>C155</f>
        <v>1.3173494928204452</v>
      </c>
      <c r="K65" s="24">
        <f t="shared" si="30"/>
        <v>178.38849999999999</v>
      </c>
      <c r="L65" s="33">
        <f t="shared" si="31"/>
        <v>-0.18366024523809524</v>
      </c>
      <c r="M65" s="28">
        <f t="shared" si="32"/>
        <v>-40.133872528616024</v>
      </c>
      <c r="N65" s="29">
        <v>0.41</v>
      </c>
      <c r="O65" s="30">
        <f t="shared" si="33"/>
        <v>0.20499999999999999</v>
      </c>
      <c r="P65" s="34">
        <f t="shared" si="34"/>
        <v>-0.11000000000000001</v>
      </c>
    </row>
    <row r="66" spans="1:16" x14ac:dyDescent="0.2">
      <c r="A66" s="20" t="s">
        <v>129</v>
      </c>
      <c r="B66" s="20" t="s">
        <v>130</v>
      </c>
      <c r="C66" s="21">
        <v>44488</v>
      </c>
      <c r="D66" s="20">
        <v>200</v>
      </c>
      <c r="E66" s="22">
        <v>1.3685</v>
      </c>
      <c r="F66" s="23">
        <v>1.27</v>
      </c>
      <c r="G66" s="24">
        <f t="shared" si="0"/>
        <v>185.60467665326999</v>
      </c>
      <c r="H66" s="47">
        <f>'[1]auto data'!M17</f>
        <v>1.32</v>
      </c>
      <c r="I66" s="20">
        <v>0</v>
      </c>
      <c r="J66" s="22">
        <f>C155</f>
        <v>1.3173494928204452</v>
      </c>
      <c r="K66" s="24">
        <f t="shared" si="30"/>
        <v>200.40240000000003</v>
      </c>
      <c r="L66" s="27">
        <f t="shared" si="31"/>
        <v>7.9727103937008104E-2</v>
      </c>
      <c r="M66" s="28">
        <f t="shared" si="32"/>
        <v>14.797723346730038</v>
      </c>
      <c r="N66" s="29">
        <v>2.91</v>
      </c>
      <c r="O66" s="30">
        <f t="shared" si="33"/>
        <v>1.4550000000000001</v>
      </c>
      <c r="P66" s="34">
        <f t="shared" si="34"/>
        <v>0.18500000000000005</v>
      </c>
    </row>
    <row r="67" spans="1:16" x14ac:dyDescent="0.2">
      <c r="A67" s="32" t="s">
        <v>131</v>
      </c>
      <c r="B67" s="20" t="s">
        <v>132</v>
      </c>
      <c r="C67" s="21">
        <v>44522</v>
      </c>
      <c r="D67" s="20">
        <v>1600</v>
      </c>
      <c r="E67" s="22">
        <v>1.3895</v>
      </c>
      <c r="F67" s="23">
        <v>0.34499999999999997</v>
      </c>
      <c r="G67" s="24">
        <f t="shared" si="0"/>
        <v>397.26520331054337</v>
      </c>
      <c r="H67" s="47">
        <f>'[1]auto data'!M18</f>
        <v>0.28999999999999998</v>
      </c>
      <c r="I67" s="20">
        <v>0</v>
      </c>
      <c r="J67" s="22">
        <f>C155</f>
        <v>1.3173494928204452</v>
      </c>
      <c r="K67" s="24">
        <f t="shared" si="30"/>
        <v>352.22239999999999</v>
      </c>
      <c r="L67" s="33">
        <f t="shared" si="31"/>
        <v>-0.1133822014492754</v>
      </c>
      <c r="M67" s="28">
        <f t="shared" si="32"/>
        <v>-45.042803310543377</v>
      </c>
      <c r="N67" s="29">
        <v>0.5</v>
      </c>
      <c r="O67" s="30">
        <f t="shared" si="33"/>
        <v>0.25</v>
      </c>
      <c r="P67" s="34">
        <f t="shared" si="34"/>
        <v>-9.4999999999999973E-2</v>
      </c>
    </row>
    <row r="68" spans="1:16" x14ac:dyDescent="0.2">
      <c r="A68" s="32" t="s">
        <v>133</v>
      </c>
      <c r="B68" s="20" t="s">
        <v>134</v>
      </c>
      <c r="C68" s="21">
        <v>44522</v>
      </c>
      <c r="D68" s="20">
        <v>800</v>
      </c>
      <c r="E68" s="22">
        <v>1.393</v>
      </c>
      <c r="F68" s="23">
        <v>0.625</v>
      </c>
      <c r="G68" s="24">
        <f t="shared" si="0"/>
        <v>358.93754486719308</v>
      </c>
      <c r="H68" s="47">
        <f>'[1]auto data'!M19</f>
        <v>0.495</v>
      </c>
      <c r="I68" s="20">
        <v>0</v>
      </c>
      <c r="J68" s="22">
        <f>C155</f>
        <v>1.3173494928204452</v>
      </c>
      <c r="K68" s="24">
        <f t="shared" si="30"/>
        <v>300.60359999999997</v>
      </c>
      <c r="L68" s="33">
        <f t="shared" si="31"/>
        <v>-0.16251837040000003</v>
      </c>
      <c r="M68" s="28">
        <f t="shared" si="32"/>
        <v>-58.333944867193111</v>
      </c>
      <c r="N68" s="29">
        <v>0.87</v>
      </c>
      <c r="O68" s="30">
        <f t="shared" si="33"/>
        <v>0.435</v>
      </c>
      <c r="P68" s="34">
        <f t="shared" si="34"/>
        <v>-0.19</v>
      </c>
    </row>
    <row r="69" spans="1:16" x14ac:dyDescent="0.2">
      <c r="A69" s="32" t="s">
        <v>135</v>
      </c>
      <c r="B69" s="20" t="s">
        <v>136</v>
      </c>
      <c r="C69" s="21">
        <v>44672</v>
      </c>
      <c r="D69" s="20">
        <v>100</v>
      </c>
      <c r="E69" s="22">
        <v>1.0837000000000001</v>
      </c>
      <c r="F69" s="23">
        <v>8.67</v>
      </c>
      <c r="G69" s="24">
        <f t="shared" si="0"/>
        <v>800.03691058410993</v>
      </c>
      <c r="H69" s="47">
        <f>'[1]auto data'!M6</f>
        <v>6.98</v>
      </c>
      <c r="I69" s="20">
        <v>0</v>
      </c>
      <c r="J69" s="22">
        <f>C154</f>
        <v>1.0185373803218578</v>
      </c>
      <c r="K69" s="24">
        <f t="shared" si="30"/>
        <v>685.29639999999995</v>
      </c>
      <c r="L69" s="33">
        <f t="shared" si="31"/>
        <v>-0.14341902113033447</v>
      </c>
      <c r="M69" s="28">
        <f t="shared" si="32"/>
        <v>-114.74051058410998</v>
      </c>
      <c r="N69" s="29">
        <v>8.67</v>
      </c>
      <c r="O69" s="30">
        <f t="shared" si="33"/>
        <v>4.335</v>
      </c>
      <c r="P69" s="34">
        <f t="shared" si="34"/>
        <v>-4.335</v>
      </c>
    </row>
    <row r="70" spans="1:16" x14ac:dyDescent="0.2">
      <c r="A70" s="32" t="s">
        <v>137</v>
      </c>
      <c r="B70" s="20" t="s">
        <v>138</v>
      </c>
      <c r="C70" s="21">
        <v>44672</v>
      </c>
      <c r="D70" s="20">
        <v>100</v>
      </c>
      <c r="E70" s="22">
        <v>1.3634999999999999</v>
      </c>
      <c r="F70" s="23">
        <v>4.88</v>
      </c>
      <c r="G70" s="24">
        <f t="shared" si="0"/>
        <v>357.90245691235793</v>
      </c>
      <c r="H70" s="47">
        <f>'[1]auto data'!T15</f>
        <v>3.750783822948228</v>
      </c>
      <c r="I70" s="20">
        <v>0</v>
      </c>
      <c r="J70" s="22">
        <f>C155</f>
        <v>1.3173494928204452</v>
      </c>
      <c r="K70" s="24">
        <f t="shared" si="30"/>
        <v>284.72199999999998</v>
      </c>
      <c r="L70" s="33">
        <f t="shared" si="31"/>
        <v>-0.2044703954918034</v>
      </c>
      <c r="M70" s="28">
        <f t="shared" si="32"/>
        <v>-73.180456912357954</v>
      </c>
      <c r="N70" s="29">
        <v>4.58</v>
      </c>
      <c r="O70" s="30">
        <f t="shared" si="33"/>
        <v>2.29</v>
      </c>
      <c r="P70" s="34">
        <f t="shared" si="34"/>
        <v>-2.59</v>
      </c>
    </row>
    <row r="71" spans="1:16" x14ac:dyDescent="0.2">
      <c r="A71" s="32" t="s">
        <v>139</v>
      </c>
      <c r="B71" s="20" t="s">
        <v>140</v>
      </c>
      <c r="C71" s="21">
        <v>44673</v>
      </c>
      <c r="D71" s="20">
        <v>100</v>
      </c>
      <c r="E71" s="22">
        <v>1.0787</v>
      </c>
      <c r="F71" s="23">
        <v>4.62</v>
      </c>
      <c r="G71" s="24">
        <f t="shared" si="0"/>
        <v>428.29331602855291</v>
      </c>
      <c r="H71" s="47">
        <f>'[1]auto data'!S18</f>
        <v>4.26</v>
      </c>
      <c r="I71" s="20">
        <v>0</v>
      </c>
      <c r="J71" s="22">
        <f>C154</f>
        <v>1.0185373803218578</v>
      </c>
      <c r="K71" s="24">
        <f t="shared" si="30"/>
        <v>418.24680000000001</v>
      </c>
      <c r="L71" s="33">
        <f t="shared" si="31"/>
        <v>-2.3457092727272758E-2</v>
      </c>
      <c r="M71" s="28">
        <f t="shared" si="32"/>
        <v>-10.046516028552901</v>
      </c>
      <c r="N71" s="29">
        <v>4.6100000000000003</v>
      </c>
      <c r="O71" s="30">
        <f t="shared" si="33"/>
        <v>2.3050000000000002</v>
      </c>
      <c r="P71" s="34">
        <f t="shared" si="34"/>
        <v>-2.3149999999999999</v>
      </c>
    </row>
    <row r="72" spans="1:16" x14ac:dyDescent="0.2">
      <c r="A72" s="2" t="s">
        <v>141</v>
      </c>
      <c r="B72" s="3"/>
      <c r="C72" s="3"/>
      <c r="D72" s="3"/>
      <c r="E72" s="3"/>
      <c r="F72" s="4"/>
      <c r="G72" s="5"/>
      <c r="H72" s="6"/>
      <c r="I72" s="6"/>
      <c r="J72" s="6"/>
      <c r="K72" s="7"/>
      <c r="L72" s="8" t="s">
        <v>1</v>
      </c>
      <c r="M72" s="9">
        <f>SUM(K74:K79)</f>
        <v>3068.5878119999998</v>
      </c>
      <c r="N72" s="10"/>
      <c r="O72" s="11"/>
      <c r="P72" s="12">
        <f>M72/P159</f>
        <v>5.2005246090067736E-2</v>
      </c>
    </row>
    <row r="73" spans="1:16" x14ac:dyDescent="0.2">
      <c r="A73" s="13" t="s">
        <v>2</v>
      </c>
      <c r="B73" s="13" t="s">
        <v>3</v>
      </c>
      <c r="C73" s="14" t="s">
        <v>4</v>
      </c>
      <c r="D73" s="13" t="s">
        <v>5</v>
      </c>
      <c r="E73" s="15" t="s">
        <v>6</v>
      </c>
      <c r="F73" s="13" t="s">
        <v>7</v>
      </c>
      <c r="G73" s="13" t="s">
        <v>8</v>
      </c>
      <c r="H73" s="16" t="s">
        <v>9</v>
      </c>
      <c r="I73" s="13" t="s">
        <v>10</v>
      </c>
      <c r="J73" s="15" t="s">
        <v>11</v>
      </c>
      <c r="K73" s="13" t="s">
        <v>12</v>
      </c>
      <c r="L73" s="13" t="s">
        <v>13</v>
      </c>
      <c r="M73" s="17" t="s">
        <v>14</v>
      </c>
      <c r="N73" s="18" t="s">
        <v>15</v>
      </c>
      <c r="O73" s="19" t="s">
        <v>16</v>
      </c>
      <c r="P73" s="17" t="s">
        <v>17</v>
      </c>
    </row>
    <row r="74" spans="1:16" x14ac:dyDescent="0.2">
      <c r="A74" s="32" t="s">
        <v>142</v>
      </c>
      <c r="B74" s="20" t="s">
        <v>143</v>
      </c>
      <c r="C74" s="21">
        <v>44187</v>
      </c>
      <c r="D74" s="20">
        <v>1000</v>
      </c>
      <c r="E74" s="22">
        <v>1.407</v>
      </c>
      <c r="F74" s="26">
        <v>2.19</v>
      </c>
      <c r="G74" s="24">
        <f t="shared" si="0"/>
        <v>1556.503198294243</v>
      </c>
      <c r="H74" s="43">
        <f>'[1]auto data'!P4</f>
        <v>1.71</v>
      </c>
      <c r="I74" s="20">
        <v>0</v>
      </c>
      <c r="J74" s="22">
        <f>C155</f>
        <v>1.3173494928204452</v>
      </c>
      <c r="K74" s="24">
        <f>((H74+I74)/J74)*D74</f>
        <v>1298.0609999999999</v>
      </c>
      <c r="L74" s="33">
        <f t="shared" ref="L74:L80" si="35">(K74-G74)/G74</f>
        <v>-0.16604026164383565</v>
      </c>
      <c r="M74" s="28">
        <f t="shared" ref="M74:M80" si="36">K74-G74</f>
        <v>-258.4421982942431</v>
      </c>
      <c r="N74" s="29">
        <v>2.54</v>
      </c>
      <c r="O74" s="30">
        <f>(N74+I74)*0.5</f>
        <v>1.27</v>
      </c>
      <c r="P74" s="34">
        <f t="shared" ref="P74:P80" si="37">O74-F74</f>
        <v>-0.91999999999999993</v>
      </c>
    </row>
    <row r="75" spans="1:16" x14ac:dyDescent="0.2">
      <c r="A75" s="20" t="s">
        <v>144</v>
      </c>
      <c r="B75" s="20" t="s">
        <v>145</v>
      </c>
      <c r="C75" s="21">
        <v>44246</v>
      </c>
      <c r="D75" s="20">
        <v>1000</v>
      </c>
      <c r="E75" s="22">
        <v>1.54</v>
      </c>
      <c r="F75" s="26">
        <v>0.34</v>
      </c>
      <c r="G75" s="24">
        <f t="shared" si="0"/>
        <v>220.77922077922076</v>
      </c>
      <c r="H75" s="43">
        <f>'[1]auto data'!P5</f>
        <v>0.28999999999999998</v>
      </c>
      <c r="I75" s="20">
        <v>0</v>
      </c>
      <c r="J75" s="22">
        <f>C155</f>
        <v>1.3173494928204452</v>
      </c>
      <c r="K75" s="24">
        <f>((H75+I75)/J75)*D75</f>
        <v>220.13900000000001</v>
      </c>
      <c r="L75" s="33">
        <f t="shared" si="35"/>
        <v>-2.8998235294116544E-3</v>
      </c>
      <c r="M75" s="28">
        <f t="shared" si="36"/>
        <v>-0.64022077922075482</v>
      </c>
      <c r="N75" s="29">
        <v>0.4</v>
      </c>
      <c r="O75" s="30">
        <f>(N75+I75)*0.33</f>
        <v>0.13200000000000001</v>
      </c>
      <c r="P75" s="34">
        <f t="shared" si="37"/>
        <v>-0.20800000000000002</v>
      </c>
    </row>
    <row r="76" spans="1:16" x14ac:dyDescent="0.2">
      <c r="A76" s="20" t="s">
        <v>146</v>
      </c>
      <c r="B76" s="20" t="s">
        <v>147</v>
      </c>
      <c r="C76" s="21">
        <v>44552</v>
      </c>
      <c r="D76" s="20">
        <v>2000</v>
      </c>
      <c r="E76" s="22">
        <v>1.4006000000000001</v>
      </c>
      <c r="F76" s="26">
        <v>0.15375</v>
      </c>
      <c r="G76" s="24">
        <f t="shared" si="0"/>
        <v>219.54876481507924</v>
      </c>
      <c r="H76" s="43">
        <f>'[1]auto data'!W19</f>
        <v>0.14499999999999999</v>
      </c>
      <c r="I76" s="20">
        <v>0</v>
      </c>
      <c r="J76" s="22">
        <f>C155</f>
        <v>1.3173494928204452</v>
      </c>
      <c r="K76" s="24">
        <f>((H76+I76)/J76)*D76</f>
        <v>220.13900000000001</v>
      </c>
      <c r="L76" s="27">
        <f t="shared" si="35"/>
        <v>2.6884013008131157E-3</v>
      </c>
      <c r="M76" s="28">
        <f t="shared" si="36"/>
        <v>0.59023518492077187</v>
      </c>
      <c r="N76" s="29">
        <v>0.2</v>
      </c>
      <c r="O76" s="30">
        <f>(N76+I76)*0.33</f>
        <v>6.6000000000000003E-2</v>
      </c>
      <c r="P76" s="34">
        <f t="shared" si="37"/>
        <v>-8.7749999999999995E-2</v>
      </c>
    </row>
    <row r="77" spans="1:16" x14ac:dyDescent="0.2">
      <c r="A77" s="20" t="s">
        <v>148</v>
      </c>
      <c r="B77" s="20" t="s">
        <v>149</v>
      </c>
      <c r="C77" s="21">
        <v>44552</v>
      </c>
      <c r="D77" s="20">
        <v>100</v>
      </c>
      <c r="E77" s="22">
        <v>0.8488</v>
      </c>
      <c r="F77" s="37">
        <v>389</v>
      </c>
      <c r="G77" s="24">
        <f>(F77*D77)/E77/100</f>
        <v>458.29406220546656</v>
      </c>
      <c r="H77" s="49">
        <f>'[1]auto data'!W18</f>
        <v>290</v>
      </c>
      <c r="I77" s="20">
        <v>0</v>
      </c>
      <c r="J77" s="22">
        <f>C157</f>
        <v>0.8437394532568343</v>
      </c>
      <c r="K77" s="24">
        <f>((H77+I77)/J77)*D77/100</f>
        <v>343.70799999999997</v>
      </c>
      <c r="L77" s="33">
        <f t="shared" si="35"/>
        <v>-0.25002737686375331</v>
      </c>
      <c r="M77" s="28">
        <f t="shared" si="36"/>
        <v>-114.58606220546659</v>
      </c>
      <c r="N77" s="50">
        <v>408</v>
      </c>
      <c r="O77" s="51">
        <f>(N77+I77)*0.33</f>
        <v>134.64000000000001</v>
      </c>
      <c r="P77" s="34">
        <f t="shared" si="37"/>
        <v>-254.35999999999999</v>
      </c>
    </row>
    <row r="78" spans="1:16" x14ac:dyDescent="0.2">
      <c r="A78" s="32" t="s">
        <v>150</v>
      </c>
      <c r="B78" s="20" t="s">
        <v>151</v>
      </c>
      <c r="C78" s="21">
        <v>44559</v>
      </c>
      <c r="D78" s="20">
        <v>400</v>
      </c>
      <c r="E78" s="22">
        <v>1.1322000000000001</v>
      </c>
      <c r="F78" s="26">
        <v>1.36</v>
      </c>
      <c r="G78" s="24">
        <f>(F78*D78)/E78</f>
        <v>480.48048048048042</v>
      </c>
      <c r="H78" s="43">
        <f>'[1]auto data'!P6</f>
        <v>0.78210000000000002</v>
      </c>
      <c r="I78" s="20">
        <v>0</v>
      </c>
      <c r="J78" s="22">
        <f>C154</f>
        <v>1.0185373803218578</v>
      </c>
      <c r="K78" s="24">
        <f>((H78+I78)/J78)*D78</f>
        <v>307.14631200000002</v>
      </c>
      <c r="L78" s="33">
        <f t="shared" si="35"/>
        <v>-0.36075173814999989</v>
      </c>
      <c r="M78" s="28">
        <f t="shared" si="36"/>
        <v>-173.3341684804804</v>
      </c>
      <c r="N78" s="29">
        <v>1.73</v>
      </c>
      <c r="O78" s="30">
        <f>(N78+I78)*0.33</f>
        <v>0.57090000000000007</v>
      </c>
      <c r="P78" s="34">
        <f t="shared" si="37"/>
        <v>-0.78910000000000002</v>
      </c>
    </row>
    <row r="79" spans="1:16" x14ac:dyDescent="0.2">
      <c r="A79" s="20" t="s">
        <v>152</v>
      </c>
      <c r="B79" s="20" t="s">
        <v>153</v>
      </c>
      <c r="C79" s="21">
        <v>44722</v>
      </c>
      <c r="D79" s="20">
        <v>50</v>
      </c>
      <c r="E79" s="22">
        <v>1.3461000000000001</v>
      </c>
      <c r="F79" s="26">
        <v>19.48</v>
      </c>
      <c r="G79" s="24">
        <f>(F79*D79)/E79</f>
        <v>723.57180001485767</v>
      </c>
      <c r="H79" s="43">
        <f>'[1]auto data'!P8</f>
        <v>17.899999999999999</v>
      </c>
      <c r="I79" s="20">
        <v>0</v>
      </c>
      <c r="J79" s="22">
        <f>C155</f>
        <v>1.3173494928204452</v>
      </c>
      <c r="K79" s="24">
        <f>((H79+I79)/J79)*D79</f>
        <v>679.39449999999999</v>
      </c>
      <c r="L79" s="33">
        <f t="shared" si="35"/>
        <v>-6.1054480030800745E-2</v>
      </c>
      <c r="M79" s="28">
        <f t="shared" si="36"/>
        <v>-44.177300014857678</v>
      </c>
      <c r="N79" s="29">
        <v>2.73</v>
      </c>
      <c r="O79" s="30">
        <f>(N79+I79)*0.33</f>
        <v>0.90090000000000003</v>
      </c>
      <c r="P79" s="34">
        <f t="shared" si="37"/>
        <v>-18.5791</v>
      </c>
    </row>
    <row r="80" spans="1:16" x14ac:dyDescent="0.2">
      <c r="A80" s="20" t="s">
        <v>154</v>
      </c>
      <c r="B80" s="20" t="s">
        <v>155</v>
      </c>
      <c r="C80" s="21">
        <v>44771</v>
      </c>
      <c r="D80" s="20">
        <v>1000</v>
      </c>
      <c r="E80" s="22">
        <v>1.3079000000000001</v>
      </c>
      <c r="F80" s="26">
        <v>0.24</v>
      </c>
      <c r="G80" s="24">
        <f>(F80*D80)/E80</f>
        <v>183.50026760455691</v>
      </c>
      <c r="H80" s="43">
        <f>'[1]auto data'!P9</f>
        <v>0.28000000000000003</v>
      </c>
      <c r="I80" s="20">
        <v>0</v>
      </c>
      <c r="J80" s="22">
        <f>C155</f>
        <v>1.3173494928204452</v>
      </c>
      <c r="K80" s="24">
        <f>((H80+I80)/J80)*D80</f>
        <v>212.548</v>
      </c>
      <c r="L80" s="27">
        <f t="shared" si="35"/>
        <v>0.15829803833333342</v>
      </c>
      <c r="M80" s="28">
        <f t="shared" si="36"/>
        <v>29.047732395443091</v>
      </c>
      <c r="N80" s="29">
        <v>0.24</v>
      </c>
      <c r="O80" s="30">
        <f>(N80+I80)*0.33</f>
        <v>7.9200000000000007E-2</v>
      </c>
      <c r="P80" s="34">
        <f t="shared" si="37"/>
        <v>-0.1608</v>
      </c>
    </row>
    <row r="81" spans="1:16" x14ac:dyDescent="0.2">
      <c r="A81" s="2" t="s">
        <v>156</v>
      </c>
      <c r="B81" s="3"/>
      <c r="C81" s="3"/>
      <c r="D81" s="3"/>
      <c r="E81" s="3"/>
      <c r="F81" s="4"/>
      <c r="G81" s="5"/>
      <c r="H81" s="6"/>
      <c r="I81" s="6"/>
      <c r="J81" s="6"/>
      <c r="K81" s="7"/>
      <c r="L81" s="8" t="s">
        <v>1</v>
      </c>
      <c r="M81" s="9">
        <f>SUM(K83:K96)</f>
        <v>1107.9333731949851</v>
      </c>
      <c r="N81" s="10"/>
      <c r="O81" s="11"/>
      <c r="P81" s="12">
        <f>M81/P159</f>
        <v>1.8776828708985324E-2</v>
      </c>
    </row>
    <row r="82" spans="1:16" x14ac:dyDescent="0.2">
      <c r="A82" s="13" t="s">
        <v>157</v>
      </c>
      <c r="B82" s="13" t="s">
        <v>3</v>
      </c>
      <c r="C82" s="14" t="s">
        <v>4</v>
      </c>
      <c r="D82" s="13" t="s">
        <v>5</v>
      </c>
      <c r="E82" s="15" t="s">
        <v>6</v>
      </c>
      <c r="F82" s="13" t="s">
        <v>7</v>
      </c>
      <c r="G82" s="13" t="s">
        <v>8</v>
      </c>
      <c r="H82" s="16" t="s">
        <v>9</v>
      </c>
      <c r="I82" s="13" t="s">
        <v>10</v>
      </c>
      <c r="J82" s="15" t="s">
        <v>11</v>
      </c>
      <c r="K82" s="13" t="s">
        <v>158</v>
      </c>
      <c r="L82" s="13" t="s">
        <v>13</v>
      </c>
      <c r="M82" s="52"/>
      <c r="N82" s="53"/>
      <c r="O82" s="54"/>
      <c r="P82" s="17" t="s">
        <v>159</v>
      </c>
    </row>
    <row r="83" spans="1:16" x14ac:dyDescent="0.2">
      <c r="A83" s="42" t="s">
        <v>160</v>
      </c>
      <c r="B83" s="20" t="s">
        <v>49</v>
      </c>
      <c r="C83" s="21">
        <v>44033</v>
      </c>
      <c r="D83" s="20">
        <v>1</v>
      </c>
      <c r="E83" s="22">
        <v>1.145</v>
      </c>
      <c r="F83" s="23">
        <v>-261</v>
      </c>
      <c r="G83" s="24">
        <f>(F83*D83)/E83</f>
        <v>-227.94759825327512</v>
      </c>
      <c r="H83" s="55">
        <v>-125</v>
      </c>
      <c r="I83" s="20">
        <v>0</v>
      </c>
      <c r="J83" s="22">
        <f>C154</f>
        <v>1.0185373803218578</v>
      </c>
      <c r="K83" s="24">
        <f>((H83-F83)/J83)*D83</f>
        <v>133.5248</v>
      </c>
      <c r="L83" s="27">
        <f>-(K83-G83)/G83</f>
        <v>1.5857697164750957</v>
      </c>
      <c r="M83" s="28"/>
      <c r="N83" s="42"/>
      <c r="O83" s="30"/>
      <c r="P83" s="34" t="s">
        <v>161</v>
      </c>
    </row>
    <row r="84" spans="1:16" x14ac:dyDescent="0.2">
      <c r="A84" s="42" t="s">
        <v>162</v>
      </c>
      <c r="B84" s="20" t="s">
        <v>19</v>
      </c>
      <c r="C84" s="21">
        <v>44946</v>
      </c>
      <c r="D84" s="20">
        <v>2</v>
      </c>
      <c r="E84" s="22">
        <v>1.2199</v>
      </c>
      <c r="F84" s="20">
        <v>-240</v>
      </c>
      <c r="G84" s="24">
        <f>(F84*D84)/E84</f>
        <v>-393.47487498975329</v>
      </c>
      <c r="H84" s="49">
        <v>-100</v>
      </c>
      <c r="I84" s="20">
        <v>0</v>
      </c>
      <c r="J84" s="22">
        <f>C154</f>
        <v>1.0185373803218578</v>
      </c>
      <c r="K84" s="24">
        <f>((H84-F84)/J84)*D84</f>
        <v>274.904</v>
      </c>
      <c r="L84" s="27">
        <f>-(K84)/G84</f>
        <v>0.69865706166666663</v>
      </c>
      <c r="M84" s="28"/>
      <c r="N84" s="42"/>
      <c r="O84" s="30"/>
      <c r="P84" s="34" t="s">
        <v>161</v>
      </c>
    </row>
    <row r="85" spans="1:16" x14ac:dyDescent="0.2">
      <c r="A85" s="42" t="s">
        <v>163</v>
      </c>
      <c r="B85" s="20" t="s">
        <v>136</v>
      </c>
      <c r="C85" s="21">
        <v>44946</v>
      </c>
      <c r="D85" s="20">
        <v>1</v>
      </c>
      <c r="E85" s="22">
        <v>1.2027000000000001</v>
      </c>
      <c r="F85" s="20">
        <v>-225</v>
      </c>
      <c r="G85" s="24">
        <f>(F85*D85)/E85</f>
        <v>-187.07907208780242</v>
      </c>
      <c r="H85" s="49">
        <v>-80</v>
      </c>
      <c r="I85" s="20">
        <v>0</v>
      </c>
      <c r="J85" s="22">
        <f>C154</f>
        <v>1.0185373803218578</v>
      </c>
      <c r="K85" s="24">
        <f t="shared" ref="K85:K87" si="38">((H85-F85)/J85)*D85</f>
        <v>142.36099999999999</v>
      </c>
      <c r="L85" s="27">
        <f t="shared" ref="L85:L86" si="39">-(K85)/G85</f>
        <v>0.76096699866666673</v>
      </c>
      <c r="M85" s="28"/>
      <c r="N85" s="42"/>
      <c r="O85" s="30"/>
      <c r="P85" s="34" t="s">
        <v>161</v>
      </c>
    </row>
    <row r="86" spans="1:16" x14ac:dyDescent="0.2">
      <c r="A86" s="42" t="s">
        <v>164</v>
      </c>
      <c r="B86" s="20" t="s">
        <v>38</v>
      </c>
      <c r="C86" s="21">
        <v>44610</v>
      </c>
      <c r="D86" s="20">
        <v>1</v>
      </c>
      <c r="E86" s="22">
        <v>1.2027000000000001</v>
      </c>
      <c r="F86" s="20">
        <v>-276</v>
      </c>
      <c r="G86" s="24">
        <f>(F86*D86)/E86</f>
        <v>-229.48366176103764</v>
      </c>
      <c r="H86" s="49">
        <v>-345</v>
      </c>
      <c r="I86" s="20">
        <v>0</v>
      </c>
      <c r="J86" s="22">
        <f>C154</f>
        <v>1.0185373803218578</v>
      </c>
      <c r="K86" s="24">
        <f t="shared" si="38"/>
        <v>-67.744200000000006</v>
      </c>
      <c r="L86" s="33">
        <f t="shared" si="39"/>
        <v>-0.29520271500000006</v>
      </c>
      <c r="M86" s="28"/>
      <c r="N86" s="42"/>
      <c r="O86" s="30"/>
      <c r="P86" s="34" t="s">
        <v>161</v>
      </c>
    </row>
    <row r="87" spans="1:16" x14ac:dyDescent="0.2">
      <c r="A87" s="42" t="s">
        <v>165</v>
      </c>
      <c r="B87" s="20" t="s">
        <v>166</v>
      </c>
      <c r="C87" s="21">
        <v>44424</v>
      </c>
      <c r="D87" s="20">
        <v>2</v>
      </c>
      <c r="E87" s="22">
        <v>1.1735</v>
      </c>
      <c r="F87" s="20">
        <v>492</v>
      </c>
      <c r="G87" s="24">
        <f>(F87*D87)/E87</f>
        <v>838.51725607158073</v>
      </c>
      <c r="H87" s="49">
        <v>630</v>
      </c>
      <c r="I87" s="20">
        <v>0</v>
      </c>
      <c r="J87" s="22">
        <f>C154</f>
        <v>1.0185373803218578</v>
      </c>
      <c r="K87" s="24">
        <f t="shared" si="38"/>
        <v>270.97680000000003</v>
      </c>
      <c r="L87" s="27">
        <f>(K87)/G87</f>
        <v>0.32316186463414637</v>
      </c>
      <c r="M87" s="28"/>
      <c r="N87" s="42"/>
      <c r="O87" s="30"/>
      <c r="P87" s="34" t="s">
        <v>161</v>
      </c>
    </row>
    <row r="88" spans="1:16" x14ac:dyDescent="0.2">
      <c r="A88" s="42" t="s">
        <v>167</v>
      </c>
      <c r="B88" s="20" t="s">
        <v>66</v>
      </c>
      <c r="C88" s="21">
        <v>44396</v>
      </c>
      <c r="D88" s="20">
        <v>33</v>
      </c>
      <c r="E88" s="22">
        <v>1.5044</v>
      </c>
      <c r="F88" s="20">
        <v>4</v>
      </c>
      <c r="G88" s="24">
        <v>0</v>
      </c>
      <c r="H88" s="50">
        <v>2</v>
      </c>
      <c r="I88" s="20">
        <v>0</v>
      </c>
      <c r="J88" s="22">
        <f>C155</f>
        <v>1.3173494928204452</v>
      </c>
      <c r="K88" s="24">
        <f>H88</f>
        <v>2</v>
      </c>
      <c r="L88" s="27" t="s">
        <v>67</v>
      </c>
      <c r="M88" s="28"/>
      <c r="N88" s="56"/>
      <c r="O88" s="30"/>
      <c r="P88" s="31"/>
    </row>
    <row r="89" spans="1:16" x14ac:dyDescent="0.2">
      <c r="A89" s="42" t="s">
        <v>168</v>
      </c>
      <c r="B89" s="20" t="s">
        <v>169</v>
      </c>
      <c r="C89" s="21">
        <v>44498</v>
      </c>
      <c r="D89" s="20">
        <v>50</v>
      </c>
      <c r="E89" s="22">
        <v>1.1565000000000001</v>
      </c>
      <c r="F89" s="20">
        <v>2.42</v>
      </c>
      <c r="G89" s="24">
        <f>(F89*D89)/E89</f>
        <v>104.62602680501513</v>
      </c>
      <c r="H89" s="50">
        <v>107</v>
      </c>
      <c r="I89" s="20">
        <v>0</v>
      </c>
      <c r="J89" s="22">
        <f>C154</f>
        <v>1.0185373803218578</v>
      </c>
      <c r="K89" s="24">
        <f>H89/J89-G89</f>
        <v>0.42657319498486856</v>
      </c>
      <c r="L89" s="27">
        <f>K89/G89</f>
        <v>4.0771231404958721E-3</v>
      </c>
      <c r="M89" s="28"/>
      <c r="N89" s="42"/>
      <c r="O89" s="30"/>
      <c r="P89" s="31" t="s">
        <v>170</v>
      </c>
    </row>
    <row r="90" spans="1:16" x14ac:dyDescent="0.2">
      <c r="A90" s="42" t="s">
        <v>171</v>
      </c>
      <c r="B90" s="20" t="s">
        <v>172</v>
      </c>
      <c r="C90" s="21">
        <v>44498</v>
      </c>
      <c r="D90" s="20">
        <v>200</v>
      </c>
      <c r="E90" s="22">
        <v>1.1565000000000001</v>
      </c>
      <c r="F90" s="26">
        <v>3.6</v>
      </c>
      <c r="G90" s="24">
        <f>(F90*D90)/E90</f>
        <v>622.56809338521396</v>
      </c>
      <c r="H90" s="50">
        <v>193</v>
      </c>
      <c r="I90" s="20">
        <v>0</v>
      </c>
      <c r="J90" s="22">
        <f>C154</f>
        <v>1.0185373803218578</v>
      </c>
      <c r="K90" s="24">
        <f>H90/J90</f>
        <v>189.48740000000001</v>
      </c>
      <c r="L90" s="33">
        <f t="shared" ref="L90:L91" si="40">(K90-G90)/G90</f>
        <v>-0.69563586374999997</v>
      </c>
      <c r="M90" s="28"/>
      <c r="N90" s="42"/>
      <c r="O90" s="30"/>
      <c r="P90" s="31"/>
    </row>
    <row r="91" spans="1:16" x14ac:dyDescent="0.2">
      <c r="A91" s="42" t="s">
        <v>171</v>
      </c>
      <c r="B91" s="20" t="s">
        <v>173</v>
      </c>
      <c r="C91" s="21">
        <v>44509</v>
      </c>
      <c r="D91" s="20">
        <v>200</v>
      </c>
      <c r="E91" s="22">
        <v>1.1453</v>
      </c>
      <c r="F91" s="20">
        <v>1.94</v>
      </c>
      <c r="G91" s="24">
        <f>(F91*D91)/E91</f>
        <v>338.77586658517419</v>
      </c>
      <c r="H91" s="50">
        <v>72</v>
      </c>
      <c r="I91" s="20">
        <v>0</v>
      </c>
      <c r="J91" s="22">
        <f>C154</f>
        <v>1.0185373803218578</v>
      </c>
      <c r="K91" s="24">
        <f>H91/J91</f>
        <v>70.689599999999999</v>
      </c>
      <c r="L91" s="33">
        <f t="shared" si="40"/>
        <v>-0.79133814721649487</v>
      </c>
      <c r="M91" s="28"/>
      <c r="N91" s="42"/>
      <c r="O91" s="30"/>
      <c r="P91" s="31"/>
    </row>
    <row r="92" spans="1:16" x14ac:dyDescent="0.2">
      <c r="A92" s="42" t="s">
        <v>174</v>
      </c>
      <c r="B92" s="20" t="s">
        <v>19</v>
      </c>
      <c r="C92" s="21">
        <v>44735</v>
      </c>
      <c r="D92" s="20">
        <v>-2</v>
      </c>
      <c r="E92" s="22">
        <v>1.0559000000000001</v>
      </c>
      <c r="F92" s="50">
        <v>201</v>
      </c>
      <c r="G92" s="24">
        <f t="shared" ref="G92:G95" si="41">(F92*D92)/E92</f>
        <v>-380.71787101051234</v>
      </c>
      <c r="H92" s="50">
        <v>200</v>
      </c>
      <c r="I92" s="20">
        <v>0</v>
      </c>
      <c r="J92" s="22">
        <f>C154</f>
        <v>1.0185373803218578</v>
      </c>
      <c r="K92" s="24">
        <f>-(H92-F92)/J92*3</f>
        <v>2.9454000000000002</v>
      </c>
      <c r="L92" s="27">
        <f>(K92+G92)/-G92+1</f>
        <v>7.7364374626865962E-3</v>
      </c>
      <c r="M92" s="28"/>
      <c r="N92" s="42"/>
      <c r="O92" s="30"/>
      <c r="P92" s="31"/>
    </row>
    <row r="93" spans="1:16" x14ac:dyDescent="0.2">
      <c r="A93" s="42" t="s">
        <v>175</v>
      </c>
      <c r="B93" s="20" t="s">
        <v>140</v>
      </c>
      <c r="C93" s="21">
        <v>44735</v>
      </c>
      <c r="D93" s="20">
        <v>-2</v>
      </c>
      <c r="E93" s="22">
        <v>1.0559000000000001</v>
      </c>
      <c r="F93" s="50">
        <v>115</v>
      </c>
      <c r="G93" s="24">
        <f t="shared" si="41"/>
        <v>-217.82365754332795</v>
      </c>
      <c r="H93" s="49">
        <v>110</v>
      </c>
      <c r="I93" s="20">
        <v>0</v>
      </c>
      <c r="J93" s="22">
        <f>C154</f>
        <v>1.0185373803218578</v>
      </c>
      <c r="K93" s="24">
        <f>-(H93-F93)/J93*2</f>
        <v>9.8179999999999996</v>
      </c>
      <c r="L93" s="27">
        <f t="shared" ref="L93:L95" si="42">(K93+G93)/-G93+1</f>
        <v>4.5073157391304353E-2</v>
      </c>
      <c r="M93" s="28"/>
      <c r="N93" s="42"/>
      <c r="O93" s="30"/>
      <c r="P93" s="34" t="s">
        <v>161</v>
      </c>
    </row>
    <row r="94" spans="1:16" x14ac:dyDescent="0.2">
      <c r="A94" s="42" t="s">
        <v>176</v>
      </c>
      <c r="B94" s="20" t="s">
        <v>136</v>
      </c>
      <c r="C94" s="21">
        <v>44735</v>
      </c>
      <c r="D94" s="20">
        <v>-1</v>
      </c>
      <c r="E94" s="22">
        <v>1.0559000000000001</v>
      </c>
      <c r="F94" s="50">
        <v>195</v>
      </c>
      <c r="G94" s="24">
        <f t="shared" si="41"/>
        <v>-184.67657922151719</v>
      </c>
      <c r="H94" s="49">
        <v>150</v>
      </c>
      <c r="I94" s="20">
        <v>0</v>
      </c>
      <c r="J94" s="22">
        <f>C154</f>
        <v>1.0185373803218578</v>
      </c>
      <c r="K94" s="24">
        <f t="shared" ref="K94" si="43">-(H94-F94)/J94</f>
        <v>44.180999999999997</v>
      </c>
      <c r="L94" s="27">
        <f t="shared" si="42"/>
        <v>0.23923445076923089</v>
      </c>
      <c r="M94" s="28"/>
      <c r="N94" s="42"/>
      <c r="O94" s="30"/>
      <c r="P94" s="34" t="s">
        <v>161</v>
      </c>
    </row>
    <row r="95" spans="1:16" x14ac:dyDescent="0.2">
      <c r="A95" s="42" t="s">
        <v>177</v>
      </c>
      <c r="B95" s="20" t="s">
        <v>49</v>
      </c>
      <c r="C95" s="21">
        <v>44735</v>
      </c>
      <c r="D95" s="20">
        <v>-1</v>
      </c>
      <c r="E95" s="22">
        <v>1.0559000000000001</v>
      </c>
      <c r="F95" s="50">
        <v>266</v>
      </c>
      <c r="G95" s="24">
        <f t="shared" si="41"/>
        <v>-251.91779524576191</v>
      </c>
      <c r="H95" s="50">
        <v>231</v>
      </c>
      <c r="I95" s="20">
        <v>0</v>
      </c>
      <c r="J95" s="22">
        <f>C154</f>
        <v>1.0185373803218578</v>
      </c>
      <c r="K95" s="24">
        <f>-(H95-F95)/J95</f>
        <v>34.363</v>
      </c>
      <c r="L95" s="27">
        <f t="shared" si="42"/>
        <v>0.13640560789473688</v>
      </c>
      <c r="M95" s="28"/>
      <c r="N95" s="42"/>
      <c r="O95" s="30"/>
      <c r="P95" s="31"/>
    </row>
    <row r="96" spans="1:16" x14ac:dyDescent="0.2">
      <c r="A96" s="42"/>
      <c r="B96" s="20"/>
      <c r="C96" s="21"/>
      <c r="D96" s="20"/>
      <c r="E96" s="22"/>
      <c r="F96" s="20"/>
      <c r="G96" s="24"/>
      <c r="H96" s="50"/>
      <c r="I96" s="20"/>
      <c r="J96" s="22"/>
      <c r="K96" s="24"/>
      <c r="L96" s="33"/>
      <c r="M96" s="28"/>
      <c r="N96" s="42"/>
      <c r="O96" s="30"/>
      <c r="P96" s="31"/>
    </row>
    <row r="97" spans="1:16" x14ac:dyDescent="0.2">
      <c r="A97" s="2" t="s">
        <v>178</v>
      </c>
      <c r="B97" s="3"/>
      <c r="C97" s="3"/>
      <c r="D97" s="3"/>
      <c r="E97" s="3"/>
      <c r="F97" s="4"/>
      <c r="G97" s="57"/>
      <c r="H97" s="58"/>
      <c r="I97" s="58"/>
      <c r="J97" s="58"/>
      <c r="K97" s="59"/>
      <c r="L97" s="8" t="s">
        <v>1</v>
      </c>
      <c r="M97" s="9">
        <f>SUM(K99:K99)</f>
        <v>1451.9236409999999</v>
      </c>
      <c r="N97" s="10"/>
      <c r="O97" s="11"/>
      <c r="P97" s="12">
        <f>M97/E162</f>
        <v>1.5898171994515271E-2</v>
      </c>
    </row>
    <row r="98" spans="1:16" x14ac:dyDescent="0.2">
      <c r="A98" s="13" t="s">
        <v>2</v>
      </c>
      <c r="B98" s="13" t="s">
        <v>3</v>
      </c>
      <c r="C98" s="14" t="s">
        <v>4</v>
      </c>
      <c r="D98" s="13" t="s">
        <v>5</v>
      </c>
      <c r="E98" s="15" t="s">
        <v>6</v>
      </c>
      <c r="F98" s="13" t="s">
        <v>7</v>
      </c>
      <c r="G98" s="13" t="s">
        <v>8</v>
      </c>
      <c r="H98" s="16" t="s">
        <v>9</v>
      </c>
      <c r="I98" s="13" t="s">
        <v>10</v>
      </c>
      <c r="J98" s="15" t="s">
        <v>11</v>
      </c>
      <c r="K98" s="13" t="s">
        <v>12</v>
      </c>
      <c r="L98" s="13" t="s">
        <v>13</v>
      </c>
      <c r="M98" s="17" t="s">
        <v>14</v>
      </c>
      <c r="N98" s="18"/>
      <c r="O98" s="19"/>
      <c r="P98" s="17"/>
    </row>
    <row r="99" spans="1:16" x14ac:dyDescent="0.2">
      <c r="A99" s="20" t="s">
        <v>179</v>
      </c>
      <c r="B99" s="20" t="s">
        <v>180</v>
      </c>
      <c r="C99" s="21">
        <v>44670</v>
      </c>
      <c r="D99" s="20">
        <v>9500</v>
      </c>
      <c r="E99" s="22">
        <v>1</v>
      </c>
      <c r="F99" s="26">
        <v>0.38</v>
      </c>
      <c r="G99" s="24">
        <f>((F99*D99)/E99)-110</f>
        <v>3500</v>
      </c>
      <c r="H99" s="60">
        <v>0.1467</v>
      </c>
      <c r="I99" s="61">
        <f>107.78+41.35*7</f>
        <v>397.23</v>
      </c>
      <c r="J99" s="22">
        <v>1</v>
      </c>
      <c r="K99" s="24">
        <f>((H99)/J99)*(D99+I99)</f>
        <v>1451.9236409999999</v>
      </c>
      <c r="L99" s="33">
        <f t="shared" ref="L99" si="44">(K99-G99)/G99</f>
        <v>-0.58516467400000005</v>
      </c>
      <c r="M99" s="28">
        <f>K99-G99</f>
        <v>-2048.0763590000001</v>
      </c>
      <c r="N99" s="42"/>
      <c r="O99" s="30"/>
      <c r="P99" s="34"/>
    </row>
    <row r="100" spans="1:16" x14ac:dyDescent="0.2">
      <c r="A100" s="2" t="s">
        <v>181</v>
      </c>
      <c r="B100" s="3"/>
      <c r="C100" s="3"/>
      <c r="D100" s="3"/>
      <c r="E100" s="3"/>
      <c r="F100" s="4"/>
      <c r="G100" s="5"/>
      <c r="H100" s="6"/>
      <c r="I100" s="6"/>
      <c r="J100" s="6"/>
      <c r="K100" s="7"/>
      <c r="L100" s="8" t="s">
        <v>1</v>
      </c>
      <c r="M100" s="9">
        <f>SUM(K101:K135)</f>
        <v>8617.3021069188471</v>
      </c>
      <c r="N100" s="10"/>
      <c r="O100" s="11"/>
      <c r="P100" s="12">
        <f>M100/P159</f>
        <v>0.14604272198118667</v>
      </c>
    </row>
    <row r="101" spans="1:16" x14ac:dyDescent="0.2">
      <c r="A101" s="62" t="s">
        <v>182</v>
      </c>
      <c r="B101" s="62" t="s">
        <v>49</v>
      </c>
      <c r="C101" s="63">
        <v>43187</v>
      </c>
      <c r="D101" s="20">
        <v>22</v>
      </c>
      <c r="E101" s="22">
        <v>1.24</v>
      </c>
      <c r="F101" s="64">
        <v>12.22</v>
      </c>
      <c r="G101" s="24">
        <f t="shared" si="0"/>
        <v>216.80645161290326</v>
      </c>
      <c r="H101" s="47">
        <f>'[1]auto data'!S6</f>
        <v>8.0500000000000007</v>
      </c>
      <c r="I101" s="26">
        <v>0</v>
      </c>
      <c r="J101" s="22">
        <f>C154</f>
        <v>1.0185373803218578</v>
      </c>
      <c r="K101" s="24">
        <f t="shared" ref="K101:K122" si="45">((H101+I101)/J101)*D101</f>
        <v>173.87678000000002</v>
      </c>
      <c r="L101" s="27">
        <f t="shared" ref="L101:L107" si="46">(K101-G101)/G101+1</f>
        <v>0.80199080196399342</v>
      </c>
      <c r="M101" s="65"/>
      <c r="N101" s="66"/>
      <c r="O101" s="67" t="s">
        <v>183</v>
      </c>
      <c r="P101" s="68">
        <v>3</v>
      </c>
    </row>
    <row r="102" spans="1:16" x14ac:dyDescent="0.2">
      <c r="A102" s="62" t="s">
        <v>184</v>
      </c>
      <c r="B102" s="20" t="s">
        <v>49</v>
      </c>
      <c r="C102" s="21">
        <v>44747</v>
      </c>
      <c r="D102" s="20">
        <v>5</v>
      </c>
      <c r="E102" s="22">
        <v>1.0264</v>
      </c>
      <c r="F102" s="23">
        <v>6.63</v>
      </c>
      <c r="G102" s="24">
        <f t="shared" ref="G102:G119" si="47">(F102*D102)/E102</f>
        <v>32.297349961028836</v>
      </c>
      <c r="H102" s="35">
        <f>H101</f>
        <v>8.0500000000000007</v>
      </c>
      <c r="I102" s="26">
        <v>0</v>
      </c>
      <c r="J102" s="22">
        <f>C154</f>
        <v>1.0185373803218578</v>
      </c>
      <c r="K102" s="24">
        <f t="shared" si="45"/>
        <v>39.517450000000004</v>
      </c>
      <c r="L102" s="27">
        <f t="shared" ref="L102" si="48">(K102-G102)/G102</f>
        <v>0.223550850075415</v>
      </c>
      <c r="M102" s="28"/>
      <c r="N102" s="66"/>
      <c r="O102" s="67" t="s">
        <v>183</v>
      </c>
      <c r="P102" s="68" t="s">
        <v>185</v>
      </c>
    </row>
    <row r="103" spans="1:16" x14ac:dyDescent="0.2">
      <c r="A103" s="20" t="s">
        <v>186</v>
      </c>
      <c r="B103" s="20" t="s">
        <v>187</v>
      </c>
      <c r="C103" s="21">
        <v>43102</v>
      </c>
      <c r="D103" s="69">
        <v>8</v>
      </c>
      <c r="E103" s="70">
        <v>1.24</v>
      </c>
      <c r="F103" s="26">
        <v>150</v>
      </c>
      <c r="G103" s="24">
        <f t="shared" si="47"/>
        <v>967.74193548387098</v>
      </c>
      <c r="H103" s="47">
        <f>'[1]auto data'!S8</f>
        <v>128.24</v>
      </c>
      <c r="I103" s="71">
        <f>[1]Dividend!P22</f>
        <v>4.1300000000000008</v>
      </c>
      <c r="J103" s="70">
        <f>C154</f>
        <v>1.0185373803218578</v>
      </c>
      <c r="K103" s="72">
        <f t="shared" si="45"/>
        <v>1039.6869280000001</v>
      </c>
      <c r="L103" s="27">
        <f t="shared" si="46"/>
        <v>1.0743431589333334</v>
      </c>
      <c r="M103" s="65"/>
      <c r="N103" s="66"/>
      <c r="O103" s="67" t="s">
        <v>183</v>
      </c>
      <c r="P103" s="68">
        <v>5</v>
      </c>
    </row>
    <row r="104" spans="1:16" x14ac:dyDescent="0.2">
      <c r="A104" s="20" t="s">
        <v>188</v>
      </c>
      <c r="B104" s="20" t="s">
        <v>19</v>
      </c>
      <c r="C104" s="21">
        <v>43102</v>
      </c>
      <c r="D104" s="69">
        <v>50</v>
      </c>
      <c r="E104" s="70">
        <v>1.24</v>
      </c>
      <c r="F104" s="20">
        <v>5.03</v>
      </c>
      <c r="G104" s="24">
        <f t="shared" si="47"/>
        <v>202.82258064516128</v>
      </c>
      <c r="H104" s="47">
        <f>'[1]auto data'!S9</f>
        <v>5.84</v>
      </c>
      <c r="I104" s="71">
        <f>[1]Dividend!P11</f>
        <v>5.2000000000000005E-2</v>
      </c>
      <c r="J104" s="70">
        <f>C154</f>
        <v>1.0185373803218578</v>
      </c>
      <c r="K104" s="73">
        <f t="shared" si="45"/>
        <v>289.23827999999997</v>
      </c>
      <c r="L104" s="27">
        <f t="shared" si="46"/>
        <v>1.4260654759443339</v>
      </c>
      <c r="M104" s="65"/>
      <c r="N104" s="66"/>
      <c r="O104" s="67" t="s">
        <v>183</v>
      </c>
      <c r="P104" s="68">
        <v>6</v>
      </c>
    </row>
    <row r="105" spans="1:16" x14ac:dyDescent="0.2">
      <c r="A105" s="20" t="s">
        <v>189</v>
      </c>
      <c r="B105" s="20" t="s">
        <v>19</v>
      </c>
      <c r="C105" s="21">
        <v>44726</v>
      </c>
      <c r="D105" s="20">
        <v>5</v>
      </c>
      <c r="E105" s="22">
        <v>1.0409999999999999</v>
      </c>
      <c r="F105" s="23">
        <v>6.0750000000000002</v>
      </c>
      <c r="G105" s="24">
        <f t="shared" si="47"/>
        <v>29.178674351585016</v>
      </c>
      <c r="H105" s="25">
        <f>H104</f>
        <v>5.84</v>
      </c>
      <c r="I105" s="26">
        <v>0</v>
      </c>
      <c r="J105" s="22">
        <f>C154</f>
        <v>1.0185373803218578</v>
      </c>
      <c r="K105" s="24">
        <f>((H105+I105)/J105)*D105</f>
        <v>28.668559999999999</v>
      </c>
      <c r="L105" s="27">
        <f t="shared" ref="L105" si="49">(K105-G105)/G105</f>
        <v>-1.748243753086428E-2</v>
      </c>
      <c r="M105" s="28"/>
      <c r="N105" s="66"/>
      <c r="O105" s="67" t="s">
        <v>183</v>
      </c>
      <c r="P105" s="68" t="s">
        <v>190</v>
      </c>
    </row>
    <row r="106" spans="1:16" x14ac:dyDescent="0.2">
      <c r="A106" s="20" t="s">
        <v>191</v>
      </c>
      <c r="B106" s="20" t="s">
        <v>38</v>
      </c>
      <c r="C106" s="21">
        <v>43683</v>
      </c>
      <c r="D106" s="69">
        <v>33</v>
      </c>
      <c r="E106" s="70">
        <v>1.49</v>
      </c>
      <c r="F106" s="20">
        <v>4.6399999999999997</v>
      </c>
      <c r="G106" s="24">
        <f t="shared" si="47"/>
        <v>102.76510067114093</v>
      </c>
      <c r="H106" s="47">
        <f>'[1]auto data'!S10</f>
        <v>4.9000000000000004</v>
      </c>
      <c r="I106" s="71">
        <f>[1]Dividend!P42</f>
        <v>4.9000000000000009E-2</v>
      </c>
      <c r="J106" s="70">
        <f>C155</f>
        <v>1.3173494928204452</v>
      </c>
      <c r="K106" s="73">
        <f t="shared" si="45"/>
        <v>123.97393470000002</v>
      </c>
      <c r="L106" s="27">
        <f t="shared" si="46"/>
        <v>1.2063816790948279</v>
      </c>
      <c r="M106" s="65"/>
      <c r="N106" s="66"/>
      <c r="O106" s="67" t="s">
        <v>183</v>
      </c>
      <c r="P106" s="68">
        <v>7</v>
      </c>
    </row>
    <row r="107" spans="1:16" x14ac:dyDescent="0.2">
      <c r="A107" s="20" t="s">
        <v>192</v>
      </c>
      <c r="B107" s="20" t="s">
        <v>193</v>
      </c>
      <c r="C107" s="21">
        <v>43994</v>
      </c>
      <c r="D107" s="20">
        <v>45</v>
      </c>
      <c r="E107" s="22">
        <v>1.1255999999999999</v>
      </c>
      <c r="F107" s="23">
        <v>5</v>
      </c>
      <c r="G107" s="24">
        <f t="shared" si="47"/>
        <v>199.89339019189768</v>
      </c>
      <c r="H107" s="41">
        <f>'[1]auto data'!S11</f>
        <v>3.12</v>
      </c>
      <c r="I107" s="20">
        <v>0</v>
      </c>
      <c r="J107" s="22">
        <f>C154</f>
        <v>1.0185373803218578</v>
      </c>
      <c r="K107" s="24">
        <f t="shared" si="45"/>
        <v>137.84472</v>
      </c>
      <c r="L107" s="27">
        <f t="shared" si="46"/>
        <v>0.6895911859199999</v>
      </c>
      <c r="M107" s="65"/>
      <c r="N107" s="66"/>
      <c r="O107" s="30" t="s">
        <v>183</v>
      </c>
      <c r="P107" s="68">
        <v>8</v>
      </c>
    </row>
    <row r="108" spans="1:16" x14ac:dyDescent="0.2">
      <c r="A108" s="20" t="s">
        <v>194</v>
      </c>
      <c r="B108" s="20" t="s">
        <v>195</v>
      </c>
      <c r="C108" s="21">
        <v>44077</v>
      </c>
      <c r="D108" s="20">
        <v>350</v>
      </c>
      <c r="E108" s="22">
        <v>1.55</v>
      </c>
      <c r="F108" s="23">
        <v>0.48499999999999999</v>
      </c>
      <c r="G108" s="24">
        <f t="shared" si="47"/>
        <v>109.51612903225806</v>
      </c>
      <c r="H108" s="25">
        <f>'[1]auto data'!S12</f>
        <v>0.36499999999999999</v>
      </c>
      <c r="I108" s="20">
        <v>0</v>
      </c>
      <c r="J108" s="22">
        <f>C155</f>
        <v>1.3173494928204452</v>
      </c>
      <c r="K108" s="24">
        <f t="shared" si="45"/>
        <v>96.975025000000002</v>
      </c>
      <c r="L108" s="27">
        <f>(K108-G108)/G108+1</f>
        <v>0.88548623711340213</v>
      </c>
      <c r="M108" s="65"/>
      <c r="N108" s="66"/>
      <c r="O108" s="74" t="s">
        <v>196</v>
      </c>
      <c r="P108" s="68">
        <v>1</v>
      </c>
    </row>
    <row r="109" spans="1:16" x14ac:dyDescent="0.2">
      <c r="A109" s="20" t="s">
        <v>197</v>
      </c>
      <c r="B109" s="20" t="s">
        <v>49</v>
      </c>
      <c r="C109" s="21">
        <v>44033</v>
      </c>
      <c r="D109" s="20">
        <v>39</v>
      </c>
      <c r="E109" s="22">
        <v>1.1000000000000001</v>
      </c>
      <c r="F109" s="23">
        <v>8.92</v>
      </c>
      <c r="G109" s="24">
        <f t="shared" si="47"/>
        <v>316.25454545454545</v>
      </c>
      <c r="H109" s="25">
        <f>H101</f>
        <v>8.0500000000000007</v>
      </c>
      <c r="I109" s="37">
        <v>0</v>
      </c>
      <c r="J109" s="20">
        <v>1.2079</v>
      </c>
      <c r="K109" s="24">
        <f t="shared" si="45"/>
        <v>259.9139001572978</v>
      </c>
      <c r="L109" s="27">
        <f t="shared" ref="L109:L122" si="50">(K109-G109)/G109</f>
        <v>-0.17814967755252503</v>
      </c>
      <c r="M109" s="65"/>
      <c r="N109" s="66"/>
      <c r="O109" s="30" t="s">
        <v>198</v>
      </c>
      <c r="P109" s="75">
        <v>8</v>
      </c>
    </row>
    <row r="110" spans="1:16" x14ac:dyDescent="0.2">
      <c r="A110" s="20" t="s">
        <v>199</v>
      </c>
      <c r="B110" s="20" t="s">
        <v>200</v>
      </c>
      <c r="C110" s="21">
        <v>43102</v>
      </c>
      <c r="D110" s="20">
        <v>275</v>
      </c>
      <c r="E110" s="22">
        <v>1.51</v>
      </c>
      <c r="F110" s="23">
        <v>2.1800000000000002</v>
      </c>
      <c r="G110" s="24">
        <f t="shared" si="47"/>
        <v>397.01986754966885</v>
      </c>
      <c r="H110" s="47">
        <f>'[1]auto data'!S14</f>
        <v>4.2300000000000004</v>
      </c>
      <c r="I110" s="20">
        <v>0</v>
      </c>
      <c r="J110" s="22">
        <f>C155</f>
        <v>1.3173494928204452</v>
      </c>
      <c r="K110" s="24">
        <f t="shared" si="45"/>
        <v>883.02307500000006</v>
      </c>
      <c r="L110" s="27">
        <f t="shared" si="50"/>
        <v>1.224128178899083</v>
      </c>
      <c r="M110" s="65"/>
      <c r="N110" s="66"/>
      <c r="O110" s="30" t="s">
        <v>201</v>
      </c>
      <c r="P110" s="68">
        <v>1</v>
      </c>
    </row>
    <row r="111" spans="1:16" x14ac:dyDescent="0.2">
      <c r="A111" s="20" t="s">
        <v>202</v>
      </c>
      <c r="B111" s="20" t="s">
        <v>203</v>
      </c>
      <c r="C111" s="21">
        <v>43822</v>
      </c>
      <c r="D111" s="20">
        <v>190</v>
      </c>
      <c r="E111" s="22">
        <v>1.51</v>
      </c>
      <c r="F111" s="23">
        <v>1.18</v>
      </c>
      <c r="G111" s="24">
        <f t="shared" si="47"/>
        <v>148.47682119205297</v>
      </c>
      <c r="H111" s="47">
        <f>'[1]auto data'!T15</f>
        <v>3.750783822948228</v>
      </c>
      <c r="I111" s="20">
        <v>0</v>
      </c>
      <c r="J111" s="22">
        <f>C155</f>
        <v>1.3173494928204452</v>
      </c>
      <c r="K111" s="24">
        <f t="shared" si="45"/>
        <v>540.97180000000003</v>
      </c>
      <c r="L111" s="27">
        <f t="shared" si="50"/>
        <v>2.6434764406779667</v>
      </c>
      <c r="M111" s="65"/>
      <c r="N111" s="66"/>
      <c r="O111" s="30" t="s">
        <v>201</v>
      </c>
      <c r="P111" s="68">
        <v>2</v>
      </c>
    </row>
    <row r="112" spans="1:16" x14ac:dyDescent="0.2">
      <c r="A112" s="20" t="s">
        <v>204</v>
      </c>
      <c r="B112" s="20" t="s">
        <v>138</v>
      </c>
      <c r="C112" s="21">
        <v>44550</v>
      </c>
      <c r="D112" s="20">
        <v>26</v>
      </c>
      <c r="E112" s="22">
        <v>1.3149999999999999</v>
      </c>
      <c r="F112" s="23">
        <v>4.2699999999999996</v>
      </c>
      <c r="G112" s="24">
        <f t="shared" si="47"/>
        <v>84.42585551330798</v>
      </c>
      <c r="H112" s="47">
        <f>H111</f>
        <v>3.750783822948228</v>
      </c>
      <c r="I112" s="20">
        <v>0</v>
      </c>
      <c r="J112" s="22">
        <f>C155</f>
        <v>1.3173494928204452</v>
      </c>
      <c r="K112" s="24">
        <f t="shared" si="45"/>
        <v>74.027720000000002</v>
      </c>
      <c r="L112" s="27">
        <f t="shared" si="50"/>
        <v>-0.1231629274004683</v>
      </c>
      <c r="M112" s="28"/>
      <c r="N112" s="29"/>
      <c r="O112" s="30" t="s">
        <v>201</v>
      </c>
      <c r="P112" s="68" t="s">
        <v>205</v>
      </c>
    </row>
    <row r="113" spans="1:16" x14ac:dyDescent="0.2">
      <c r="A113" s="20" t="s">
        <v>206</v>
      </c>
      <c r="B113" s="20" t="s">
        <v>138</v>
      </c>
      <c r="C113" s="21">
        <v>44699</v>
      </c>
      <c r="D113" s="20">
        <v>7</v>
      </c>
      <c r="E113" s="22">
        <v>1.3472999999999999</v>
      </c>
      <c r="F113" s="23">
        <v>3.58</v>
      </c>
      <c r="G113" s="24">
        <f t="shared" si="47"/>
        <v>18.600163289542049</v>
      </c>
      <c r="H113" s="47">
        <v>3.76</v>
      </c>
      <c r="I113" s="20">
        <v>0</v>
      </c>
      <c r="J113" s="22">
        <f>C155</f>
        <v>1.3173494928204452</v>
      </c>
      <c r="K113" s="24">
        <f>((H113+I113)/J113)*D113</f>
        <v>19.979512</v>
      </c>
      <c r="L113" s="27">
        <f>(K113-G113)/G113</f>
        <v>7.4157881787709351E-2</v>
      </c>
      <c r="M113" s="28"/>
      <c r="N113" s="29"/>
      <c r="O113" s="30" t="s">
        <v>201</v>
      </c>
      <c r="P113" s="68" t="s">
        <v>207</v>
      </c>
    </row>
    <row r="114" spans="1:16" x14ac:dyDescent="0.2">
      <c r="A114" s="20" t="s">
        <v>208</v>
      </c>
      <c r="B114" s="20" t="s">
        <v>209</v>
      </c>
      <c r="C114" s="21">
        <v>43374</v>
      </c>
      <c r="D114" s="20">
        <v>700</v>
      </c>
      <c r="E114" s="22">
        <v>1.1499999999999999</v>
      </c>
      <c r="F114" s="23">
        <v>0.66</v>
      </c>
      <c r="G114" s="24">
        <f t="shared" si="47"/>
        <v>401.73913043478262</v>
      </c>
      <c r="H114" s="47">
        <f>'[1]auto data'!S16</f>
        <v>1.2</v>
      </c>
      <c r="I114" s="20">
        <v>0</v>
      </c>
      <c r="J114" s="20">
        <v>1.2088000000000001</v>
      </c>
      <c r="K114" s="24">
        <f t="shared" si="45"/>
        <v>694.90403706154859</v>
      </c>
      <c r="L114" s="27">
        <f t="shared" si="50"/>
        <v>0.72973948619216633</v>
      </c>
      <c r="M114" s="65"/>
      <c r="N114" s="66"/>
      <c r="O114" s="30" t="s">
        <v>201</v>
      </c>
      <c r="P114" s="68">
        <v>3</v>
      </c>
    </row>
    <row r="115" spans="1:16" x14ac:dyDescent="0.2">
      <c r="A115" s="20" t="s">
        <v>210</v>
      </c>
      <c r="B115" s="20" t="s">
        <v>209</v>
      </c>
      <c r="C115" s="21">
        <v>44586</v>
      </c>
      <c r="D115" s="20">
        <v>170</v>
      </c>
      <c r="E115" s="22">
        <v>1.1324000000000001</v>
      </c>
      <c r="F115" s="23">
        <v>1.1000000000000001</v>
      </c>
      <c r="G115" s="24">
        <f t="shared" si="47"/>
        <v>165.13599434828683</v>
      </c>
      <c r="H115" s="47">
        <f>'[1]auto data'!S16</f>
        <v>1.2</v>
      </c>
      <c r="I115" s="20">
        <v>0</v>
      </c>
      <c r="J115" s="22">
        <f>C154</f>
        <v>1.0185373803218578</v>
      </c>
      <c r="K115" s="24">
        <f t="shared" si="45"/>
        <v>200.28719999999998</v>
      </c>
      <c r="L115" s="27">
        <f t="shared" si="50"/>
        <v>0.21286216727272714</v>
      </c>
      <c r="M115" s="28"/>
      <c r="N115" s="29"/>
      <c r="O115" s="30" t="s">
        <v>201</v>
      </c>
      <c r="P115" s="76" t="s">
        <v>185</v>
      </c>
    </row>
    <row r="116" spans="1:16" x14ac:dyDescent="0.2">
      <c r="A116" s="20" t="s">
        <v>211</v>
      </c>
      <c r="B116" s="20" t="s">
        <v>212</v>
      </c>
      <c r="C116" s="21">
        <v>43854</v>
      </c>
      <c r="D116" s="20">
        <v>50</v>
      </c>
      <c r="E116" s="22">
        <v>1.46</v>
      </c>
      <c r="F116" s="20">
        <v>3.71</v>
      </c>
      <c r="G116" s="24">
        <f t="shared" si="47"/>
        <v>127.05479452054794</v>
      </c>
      <c r="H116" s="47">
        <f>'[1]auto data'!S17</f>
        <v>8.06</v>
      </c>
      <c r="I116" s="20">
        <v>0</v>
      </c>
      <c r="J116" s="22">
        <f>C155</f>
        <v>1.3173494928204452</v>
      </c>
      <c r="K116" s="24">
        <f t="shared" si="45"/>
        <v>305.91730000000001</v>
      </c>
      <c r="L116" s="27">
        <f t="shared" si="50"/>
        <v>1.4077588032345014</v>
      </c>
      <c r="M116" s="65"/>
      <c r="N116" s="66"/>
      <c r="O116" s="30" t="s">
        <v>213</v>
      </c>
      <c r="P116" s="75">
        <v>2</v>
      </c>
    </row>
    <row r="117" spans="1:16" x14ac:dyDescent="0.2">
      <c r="A117" s="20" t="s">
        <v>214</v>
      </c>
      <c r="B117" s="20" t="s">
        <v>140</v>
      </c>
      <c r="C117" s="21">
        <v>44229</v>
      </c>
      <c r="D117" s="20">
        <v>75</v>
      </c>
      <c r="E117" s="22">
        <v>1.2022999999999999</v>
      </c>
      <c r="F117" s="23">
        <v>1.74</v>
      </c>
      <c r="G117" s="24">
        <f t="shared" si="47"/>
        <v>108.54196124095485</v>
      </c>
      <c r="H117" s="47">
        <f>'[1]auto data'!S18</f>
        <v>4.26</v>
      </c>
      <c r="I117" s="20">
        <v>0</v>
      </c>
      <c r="J117" s="22">
        <f>C154</f>
        <v>1.0185373803218578</v>
      </c>
      <c r="K117" s="24">
        <f t="shared" si="45"/>
        <v>313.68510000000003</v>
      </c>
      <c r="L117" s="27">
        <f t="shared" si="50"/>
        <v>1.889989239310345</v>
      </c>
      <c r="M117" s="28"/>
      <c r="N117" s="29"/>
      <c r="O117" s="30" t="s">
        <v>201</v>
      </c>
      <c r="P117" s="68">
        <v>4</v>
      </c>
    </row>
    <row r="118" spans="1:16" x14ac:dyDescent="0.2">
      <c r="A118" s="20" t="s">
        <v>215</v>
      </c>
      <c r="B118" s="20" t="s">
        <v>140</v>
      </c>
      <c r="C118" s="21">
        <v>44589</v>
      </c>
      <c r="D118" s="20">
        <v>50</v>
      </c>
      <c r="E118" s="22">
        <v>1.1152</v>
      </c>
      <c r="F118" s="77">
        <v>2.42</v>
      </c>
      <c r="G118" s="24">
        <f t="shared" si="47"/>
        <v>108.50071736011478</v>
      </c>
      <c r="H118" s="47">
        <f>'[1]auto data'!S18</f>
        <v>4.26</v>
      </c>
      <c r="I118" s="20">
        <v>0</v>
      </c>
      <c r="J118" s="22">
        <f>C154</f>
        <v>1.0185373803218578</v>
      </c>
      <c r="K118" s="24">
        <f t="shared" si="45"/>
        <v>209.1234</v>
      </c>
      <c r="L118" s="48">
        <f t="shared" si="50"/>
        <v>0.92739186512396699</v>
      </c>
      <c r="M118" s="28"/>
      <c r="N118" s="29"/>
      <c r="O118" s="30" t="s">
        <v>201</v>
      </c>
      <c r="P118" s="68" t="s">
        <v>216</v>
      </c>
    </row>
    <row r="119" spans="1:16" x14ac:dyDescent="0.2">
      <c r="A119" s="20" t="s">
        <v>217</v>
      </c>
      <c r="B119" s="20" t="s">
        <v>140</v>
      </c>
      <c r="C119" s="21">
        <v>44690</v>
      </c>
      <c r="D119" s="20">
        <v>10</v>
      </c>
      <c r="E119" s="22">
        <v>1.0529999999999999</v>
      </c>
      <c r="F119" s="23">
        <v>3.62</v>
      </c>
      <c r="G119" s="24">
        <f t="shared" si="47"/>
        <v>34.377967711301046</v>
      </c>
      <c r="H119" s="47">
        <f>H118</f>
        <v>4.26</v>
      </c>
      <c r="I119" s="20">
        <v>0</v>
      </c>
      <c r="J119" s="22">
        <f>C154</f>
        <v>1.0185373803218578</v>
      </c>
      <c r="K119" s="24">
        <f>((H119+I119)/J119)*D119</f>
        <v>41.824680000000001</v>
      </c>
      <c r="L119" s="27">
        <f t="shared" si="50"/>
        <v>0.21661292928176792</v>
      </c>
      <c r="M119" s="28"/>
      <c r="N119" s="29"/>
      <c r="O119" s="30" t="s">
        <v>201</v>
      </c>
      <c r="P119" s="68" t="s">
        <v>218</v>
      </c>
    </row>
    <row r="120" spans="1:16" x14ac:dyDescent="0.2">
      <c r="A120" s="20" t="s">
        <v>219</v>
      </c>
      <c r="B120" s="20" t="s">
        <v>220</v>
      </c>
      <c r="C120" s="21">
        <v>43874</v>
      </c>
      <c r="D120" s="20">
        <v>300</v>
      </c>
      <c r="E120" s="22">
        <v>1.44</v>
      </c>
      <c r="F120" s="20">
        <v>0.37</v>
      </c>
      <c r="G120" s="24">
        <f>(F120*D120)/E120</f>
        <v>77.083333333333343</v>
      </c>
      <c r="H120" s="43">
        <f>'[1]auto data'!P3</f>
        <v>0.27500000000000002</v>
      </c>
      <c r="I120" s="20">
        <v>0</v>
      </c>
      <c r="J120" s="22">
        <f>C155</f>
        <v>1.3173494928204452</v>
      </c>
      <c r="K120" s="24">
        <f t="shared" si="45"/>
        <v>62.625750000000011</v>
      </c>
      <c r="L120" s="27">
        <f t="shared" si="50"/>
        <v>-0.1875578378378378</v>
      </c>
      <c r="M120" s="28"/>
      <c r="N120" s="29"/>
      <c r="O120" s="30" t="s">
        <v>213</v>
      </c>
      <c r="P120" s="68">
        <v>3</v>
      </c>
    </row>
    <row r="121" spans="1:16" x14ac:dyDescent="0.2">
      <c r="A121" s="20" t="s">
        <v>221</v>
      </c>
      <c r="B121" s="20" t="s">
        <v>222</v>
      </c>
      <c r="C121" s="21">
        <v>44287</v>
      </c>
      <c r="D121" s="20">
        <v>750</v>
      </c>
      <c r="E121" s="22">
        <v>1.55</v>
      </c>
      <c r="F121" s="23">
        <v>0.37</v>
      </c>
      <c r="G121" s="24">
        <f t="shared" ref="G121:G135" si="51">(F121*D121)/E121</f>
        <v>179.03225806451613</v>
      </c>
      <c r="H121" s="47">
        <f>'[1]auto data'!S19</f>
        <v>0.745</v>
      </c>
      <c r="I121" s="20">
        <v>0</v>
      </c>
      <c r="J121" s="22">
        <f>C156</f>
        <v>1.4740566037735849</v>
      </c>
      <c r="K121" s="24">
        <f t="shared" si="45"/>
        <v>379.05599999999998</v>
      </c>
      <c r="L121" s="27">
        <f t="shared" si="50"/>
        <v>1.1172497297297297</v>
      </c>
      <c r="M121" s="28"/>
      <c r="N121" s="29"/>
      <c r="O121" s="30" t="s">
        <v>201</v>
      </c>
      <c r="P121" s="68">
        <v>5</v>
      </c>
    </row>
    <row r="122" spans="1:16" x14ac:dyDescent="0.2">
      <c r="A122" s="20" t="s">
        <v>223</v>
      </c>
      <c r="B122" s="20" t="s">
        <v>224</v>
      </c>
      <c r="C122" s="21">
        <v>44229</v>
      </c>
      <c r="D122" s="20">
        <v>75</v>
      </c>
      <c r="E122" s="22">
        <v>1.55</v>
      </c>
      <c r="F122" s="23">
        <v>2</v>
      </c>
      <c r="G122" s="24">
        <f t="shared" si="51"/>
        <v>96.774193548387089</v>
      </c>
      <c r="H122" s="47">
        <f>'[1]auto data'!M3</f>
        <v>3.19</v>
      </c>
      <c r="I122" s="20">
        <v>0</v>
      </c>
      <c r="J122" s="22">
        <f>C155</f>
        <v>1.3173494928204452</v>
      </c>
      <c r="K122" s="24">
        <f t="shared" si="45"/>
        <v>181.61467500000001</v>
      </c>
      <c r="L122" s="27">
        <f t="shared" si="50"/>
        <v>0.8766849750000002</v>
      </c>
      <c r="M122" s="28"/>
      <c r="N122" s="29"/>
      <c r="O122" s="30" t="s">
        <v>201</v>
      </c>
      <c r="P122" s="68">
        <v>6</v>
      </c>
    </row>
    <row r="123" spans="1:16" x14ac:dyDescent="0.2">
      <c r="A123" s="20" t="s">
        <v>225</v>
      </c>
      <c r="B123" s="20" t="s">
        <v>226</v>
      </c>
      <c r="C123" s="21">
        <v>44321</v>
      </c>
      <c r="D123" s="20">
        <v>2000</v>
      </c>
      <c r="E123" s="22">
        <v>1.5603</v>
      </c>
      <c r="F123" s="23">
        <v>0.14000000000000001</v>
      </c>
      <c r="G123" s="24">
        <f t="shared" si="51"/>
        <v>179.45266935845672</v>
      </c>
      <c r="H123" s="47">
        <f>'[1]auto data'!S20</f>
        <v>0.185</v>
      </c>
      <c r="I123" s="20">
        <v>0</v>
      </c>
      <c r="J123" s="22">
        <f>C156</f>
        <v>1.4740566037735849</v>
      </c>
      <c r="K123" s="24">
        <f>((H123+I123)/J123)*D123</f>
        <v>251.00800000000001</v>
      </c>
      <c r="L123" s="27">
        <f>(K123-G123)/G123</f>
        <v>0.39874208</v>
      </c>
      <c r="M123" s="28"/>
      <c r="N123" s="19"/>
      <c r="O123" s="68" t="s">
        <v>201</v>
      </c>
      <c r="P123" s="68">
        <v>7</v>
      </c>
    </row>
    <row r="124" spans="1:16" x14ac:dyDescent="0.2">
      <c r="A124" s="20" t="s">
        <v>227</v>
      </c>
      <c r="B124" s="20" t="s">
        <v>228</v>
      </c>
      <c r="C124" s="21">
        <v>44281</v>
      </c>
      <c r="D124" s="20">
        <v>200</v>
      </c>
      <c r="E124" s="22">
        <v>1.55</v>
      </c>
      <c r="F124" s="23">
        <v>1.325</v>
      </c>
      <c r="G124" s="24">
        <f t="shared" si="51"/>
        <v>170.96774193548387</v>
      </c>
      <c r="H124" s="47">
        <f>'[1]auto data'!M7</f>
        <v>2.1</v>
      </c>
      <c r="I124" s="20">
        <v>0</v>
      </c>
      <c r="J124" s="22">
        <f>C156</f>
        <v>1.4740566037735849</v>
      </c>
      <c r="K124" s="24">
        <f t="shared" ref="K124" si="52">((H124+I124)/J124)*D124</f>
        <v>284.928</v>
      </c>
      <c r="L124" s="27">
        <f t="shared" ref="L124" si="53">(K124-G124)/G124</f>
        <v>0.66655999999999993</v>
      </c>
      <c r="M124" s="28"/>
      <c r="N124" s="19"/>
      <c r="O124" s="68" t="s">
        <v>201</v>
      </c>
      <c r="P124" s="68">
        <v>8</v>
      </c>
    </row>
    <row r="125" spans="1:16" x14ac:dyDescent="0.2">
      <c r="A125" s="20" t="s">
        <v>229</v>
      </c>
      <c r="B125" s="20" t="s">
        <v>230</v>
      </c>
      <c r="C125" s="21">
        <v>44321</v>
      </c>
      <c r="D125" s="20">
        <v>1500</v>
      </c>
      <c r="E125" s="22">
        <v>1.4799</v>
      </c>
      <c r="F125" s="23">
        <v>0.1</v>
      </c>
      <c r="G125" s="24">
        <f t="shared" si="51"/>
        <v>101.35819987837016</v>
      </c>
      <c r="H125" s="47">
        <f>'[1]auto data'!M10</f>
        <v>0.08</v>
      </c>
      <c r="I125" s="20">
        <v>0</v>
      </c>
      <c r="J125" s="22">
        <f>C155</f>
        <v>1.3173494928204452</v>
      </c>
      <c r="K125" s="24">
        <f>((H125+I125)/J125)*D125</f>
        <v>91.092000000000013</v>
      </c>
      <c r="L125" s="27">
        <f>(K125-G125)/G125</f>
        <v>-0.10128632799999986</v>
      </c>
      <c r="M125" s="28"/>
      <c r="N125" s="19"/>
      <c r="O125" s="68" t="s">
        <v>201</v>
      </c>
      <c r="P125" s="68">
        <v>9</v>
      </c>
    </row>
    <row r="126" spans="1:16" x14ac:dyDescent="0.2">
      <c r="A126" s="20" t="s">
        <v>231</v>
      </c>
      <c r="B126" s="20" t="s">
        <v>232</v>
      </c>
      <c r="C126" s="21">
        <v>44216</v>
      </c>
      <c r="D126" s="20">
        <v>150</v>
      </c>
      <c r="E126" s="22">
        <v>1.55</v>
      </c>
      <c r="F126" s="23">
        <v>1.59</v>
      </c>
      <c r="G126" s="24">
        <f t="shared" si="51"/>
        <v>153.87096774193549</v>
      </c>
      <c r="H126" s="35">
        <f>'[1]auto data'!J36</f>
        <v>1.52</v>
      </c>
      <c r="I126" s="20">
        <v>0</v>
      </c>
      <c r="J126" s="22">
        <f>C155</f>
        <v>1.3173494928204452</v>
      </c>
      <c r="K126" s="24">
        <f t="shared" ref="K126:K135" si="54">((H126+I126)/J126)*D126</f>
        <v>173.07479999999998</v>
      </c>
      <c r="L126" s="27">
        <f t="shared" ref="L126:L135" si="55">(K126-G126)/G126</f>
        <v>0.12480477987421369</v>
      </c>
      <c r="M126" s="28"/>
      <c r="N126" s="29"/>
      <c r="O126" s="30" t="s">
        <v>196</v>
      </c>
      <c r="P126" s="68">
        <v>2</v>
      </c>
    </row>
    <row r="127" spans="1:16" x14ac:dyDescent="0.2">
      <c r="A127" s="20" t="s">
        <v>233</v>
      </c>
      <c r="B127" s="20" t="s">
        <v>234</v>
      </c>
      <c r="C127" s="21">
        <v>44270</v>
      </c>
      <c r="D127" s="20">
        <v>75</v>
      </c>
      <c r="E127" s="22">
        <v>1.49</v>
      </c>
      <c r="F127" s="23">
        <v>2.19</v>
      </c>
      <c r="G127" s="24">
        <f t="shared" si="51"/>
        <v>110.23489932885906</v>
      </c>
      <c r="H127" s="47">
        <f>'[1]auto data'!M5</f>
        <v>3.5</v>
      </c>
      <c r="I127" s="20">
        <v>0</v>
      </c>
      <c r="J127" s="22">
        <f>C155</f>
        <v>1.3173494928204452</v>
      </c>
      <c r="K127" s="24">
        <f t="shared" si="54"/>
        <v>199.26374999999999</v>
      </c>
      <c r="L127" s="27">
        <f t="shared" si="55"/>
        <v>0.80762853881278529</v>
      </c>
      <c r="M127" s="28"/>
      <c r="N127" s="29"/>
      <c r="O127" s="30" t="s">
        <v>201</v>
      </c>
      <c r="P127" s="68">
        <v>10</v>
      </c>
    </row>
    <row r="128" spans="1:16" x14ac:dyDescent="0.2">
      <c r="A128" s="20" t="s">
        <v>235</v>
      </c>
      <c r="B128" s="20" t="s">
        <v>234</v>
      </c>
      <c r="C128" s="21">
        <v>44707</v>
      </c>
      <c r="D128" s="20">
        <v>10</v>
      </c>
      <c r="E128" s="22">
        <v>1.371</v>
      </c>
      <c r="F128" s="23">
        <v>2.92</v>
      </c>
      <c r="G128" s="24">
        <f t="shared" si="51"/>
        <v>21.298322392414295</v>
      </c>
      <c r="H128" s="47">
        <f>H127</f>
        <v>3.5</v>
      </c>
      <c r="I128" s="20">
        <v>0</v>
      </c>
      <c r="J128" s="22">
        <f>C155</f>
        <v>1.3173494928204452</v>
      </c>
      <c r="K128" s="24">
        <f>((H128+I128)/J128)*D128</f>
        <v>26.5685</v>
      </c>
      <c r="L128" s="27">
        <f t="shared" si="55"/>
        <v>0.24744566780821922</v>
      </c>
      <c r="M128" s="28"/>
      <c r="N128" s="29"/>
      <c r="O128" s="30" t="s">
        <v>201</v>
      </c>
      <c r="P128" s="68" t="s">
        <v>236</v>
      </c>
    </row>
    <row r="129" spans="1:16" x14ac:dyDescent="0.2">
      <c r="A129" s="20" t="s">
        <v>237</v>
      </c>
      <c r="B129" s="20" t="s">
        <v>136</v>
      </c>
      <c r="C129" s="21">
        <v>44278</v>
      </c>
      <c r="D129" s="20">
        <v>50</v>
      </c>
      <c r="E129" s="22">
        <v>1.1825000000000001</v>
      </c>
      <c r="F129" s="23">
        <v>4.8099999999999996</v>
      </c>
      <c r="G129" s="24">
        <f t="shared" si="51"/>
        <v>203.38266384778009</v>
      </c>
      <c r="H129" s="47">
        <f>'[1]auto data'!M6</f>
        <v>6.98</v>
      </c>
      <c r="I129" s="20">
        <v>0</v>
      </c>
      <c r="J129" s="22">
        <f>C154</f>
        <v>1.0185373803218578</v>
      </c>
      <c r="K129" s="24">
        <f t="shared" si="54"/>
        <v>342.64819999999997</v>
      </c>
      <c r="L129" s="27">
        <f t="shared" si="55"/>
        <v>0.68474634719334737</v>
      </c>
      <c r="M129" s="28"/>
      <c r="N129" s="29"/>
      <c r="O129" s="30" t="s">
        <v>201</v>
      </c>
      <c r="P129" s="68">
        <v>11</v>
      </c>
    </row>
    <row r="130" spans="1:16" x14ac:dyDescent="0.2">
      <c r="A130" s="20" t="s">
        <v>238</v>
      </c>
      <c r="B130" s="20" t="s">
        <v>136</v>
      </c>
      <c r="C130" s="21">
        <v>44550</v>
      </c>
      <c r="D130" s="20">
        <v>41</v>
      </c>
      <c r="E130" s="22">
        <v>1.1258999999999999</v>
      </c>
      <c r="F130" s="23">
        <v>6.4950000000000001</v>
      </c>
      <c r="G130" s="24">
        <f t="shared" si="51"/>
        <v>236.51745270450309</v>
      </c>
      <c r="H130" s="47">
        <f>H129</f>
        <v>6.98</v>
      </c>
      <c r="I130" s="20">
        <v>0</v>
      </c>
      <c r="J130" s="22">
        <f>C154</f>
        <v>1.0185373803218578</v>
      </c>
      <c r="K130" s="24">
        <f>((H130+I130)/J130)*D130</f>
        <v>280.97152399999999</v>
      </c>
      <c r="L130" s="27">
        <f t="shared" si="55"/>
        <v>0.18795260471131625</v>
      </c>
      <c r="M130" s="28"/>
      <c r="N130" s="29"/>
      <c r="O130" s="30" t="s">
        <v>201</v>
      </c>
      <c r="P130" s="78" t="s">
        <v>239</v>
      </c>
    </row>
    <row r="131" spans="1:16" x14ac:dyDescent="0.2">
      <c r="A131" s="20" t="s">
        <v>240</v>
      </c>
      <c r="B131" s="20" t="s">
        <v>136</v>
      </c>
      <c r="C131" s="21">
        <v>44699</v>
      </c>
      <c r="D131" s="20">
        <v>14</v>
      </c>
      <c r="E131" s="22">
        <v>1.0485</v>
      </c>
      <c r="F131" s="23">
        <v>5.86</v>
      </c>
      <c r="G131" s="24">
        <f t="shared" si="51"/>
        <v>78.245112064854567</v>
      </c>
      <c r="H131" s="47">
        <f>H130</f>
        <v>6.98</v>
      </c>
      <c r="I131" s="20">
        <v>0</v>
      </c>
      <c r="J131" s="22">
        <f>C154</f>
        <v>1.0185373803218578</v>
      </c>
      <c r="K131" s="24">
        <f t="shared" ref="K131" si="56">((H131+I131)/J131)*D131</f>
        <v>95.941496000000001</v>
      </c>
      <c r="L131" s="27">
        <f t="shared" si="55"/>
        <v>0.22616599897610903</v>
      </c>
      <c r="M131" s="28"/>
      <c r="N131" s="29"/>
      <c r="O131" s="30" t="s">
        <v>201</v>
      </c>
      <c r="P131" s="78" t="s">
        <v>241</v>
      </c>
    </row>
    <row r="132" spans="1:16" x14ac:dyDescent="0.2">
      <c r="A132" s="20" t="s">
        <v>242</v>
      </c>
      <c r="B132" s="20" t="s">
        <v>243</v>
      </c>
      <c r="C132" s="21">
        <v>44253</v>
      </c>
      <c r="D132" s="20">
        <v>200</v>
      </c>
      <c r="E132" s="22">
        <v>1.52</v>
      </c>
      <c r="F132" s="23">
        <v>1.05</v>
      </c>
      <c r="G132" s="24">
        <f t="shared" si="51"/>
        <v>138.15789473684211</v>
      </c>
      <c r="H132" s="47">
        <f>'[1]auto data'!M4</f>
        <v>1.1599999999999999</v>
      </c>
      <c r="I132" s="20">
        <v>0</v>
      </c>
      <c r="J132" s="22">
        <f>C154</f>
        <v>1.0185373803218578</v>
      </c>
      <c r="K132" s="24">
        <f t="shared" si="54"/>
        <v>227.77759999999998</v>
      </c>
      <c r="L132" s="27">
        <f t="shared" si="55"/>
        <v>0.64867596190476173</v>
      </c>
      <c r="M132" s="28"/>
      <c r="N132" s="79"/>
      <c r="O132" s="30" t="s">
        <v>201</v>
      </c>
      <c r="P132" s="68">
        <v>12</v>
      </c>
    </row>
    <row r="133" spans="1:16" x14ac:dyDescent="0.2">
      <c r="A133" s="20" t="s">
        <v>244</v>
      </c>
      <c r="B133" s="20" t="s">
        <v>243</v>
      </c>
      <c r="C133" s="21">
        <v>44582</v>
      </c>
      <c r="D133" s="20">
        <v>100</v>
      </c>
      <c r="E133" s="22">
        <v>1.1346000000000001</v>
      </c>
      <c r="F133" s="23">
        <v>1.2</v>
      </c>
      <c r="G133" s="24">
        <f t="shared" si="51"/>
        <v>105.76414595452141</v>
      </c>
      <c r="H133" s="47">
        <f>'[1]auto data'!M4</f>
        <v>1.1599999999999999</v>
      </c>
      <c r="I133" s="20">
        <v>0</v>
      </c>
      <c r="J133" s="22">
        <f>C154</f>
        <v>1.0185373803218578</v>
      </c>
      <c r="K133" s="24">
        <f t="shared" si="54"/>
        <v>113.88879999999999</v>
      </c>
      <c r="L133" s="27">
        <f t="shared" si="55"/>
        <v>7.6818603999999971E-2</v>
      </c>
      <c r="M133" s="28"/>
      <c r="N133" s="29"/>
      <c r="O133" s="30" t="s">
        <v>201</v>
      </c>
      <c r="P133" s="68" t="s">
        <v>245</v>
      </c>
    </row>
    <row r="134" spans="1:16" x14ac:dyDescent="0.2">
      <c r="A134" s="20" t="s">
        <v>246</v>
      </c>
      <c r="B134" s="20" t="s">
        <v>247</v>
      </c>
      <c r="C134" s="21">
        <v>44350</v>
      </c>
      <c r="D134" s="20">
        <v>187</v>
      </c>
      <c r="E134" s="22">
        <v>1.57</v>
      </c>
      <c r="F134" s="23">
        <v>1.4</v>
      </c>
      <c r="G134" s="24">
        <f t="shared" si="51"/>
        <v>166.75159235668789</v>
      </c>
      <c r="H134" s="47">
        <f>'[1]auto data'!M12</f>
        <v>2.4500000000000002</v>
      </c>
      <c r="I134" s="20">
        <v>0</v>
      </c>
      <c r="J134" s="22">
        <f>C156</f>
        <v>1.4740566037735849</v>
      </c>
      <c r="K134" s="24">
        <f t="shared" si="54"/>
        <v>310.80896000000001</v>
      </c>
      <c r="L134" s="27">
        <f t="shared" si="55"/>
        <v>0.86390400000000012</v>
      </c>
      <c r="M134" s="28"/>
      <c r="N134" s="29"/>
      <c r="O134" s="30" t="s">
        <v>201</v>
      </c>
      <c r="P134" s="68">
        <v>13</v>
      </c>
    </row>
    <row r="135" spans="1:16" x14ac:dyDescent="0.2">
      <c r="A135" s="80" t="s">
        <v>248</v>
      </c>
      <c r="B135" s="20" t="s">
        <v>249</v>
      </c>
      <c r="C135" s="21">
        <v>44054</v>
      </c>
      <c r="D135" s="20">
        <v>50</v>
      </c>
      <c r="E135" s="22">
        <v>1.58</v>
      </c>
      <c r="F135" s="23">
        <v>3.64</v>
      </c>
      <c r="G135" s="24">
        <f t="shared" si="51"/>
        <v>115.18987341772151</v>
      </c>
      <c r="H135" s="25">
        <f>'[1]auto data'!J26</f>
        <v>3.23</v>
      </c>
      <c r="I135" s="20">
        <v>0</v>
      </c>
      <c r="J135" s="22">
        <f>C155</f>
        <v>1.3173494928204452</v>
      </c>
      <c r="K135" s="24">
        <f t="shared" si="54"/>
        <v>122.59465</v>
      </c>
      <c r="L135" s="27">
        <f t="shared" si="55"/>
        <v>6.4283225274725325E-2</v>
      </c>
      <c r="M135" s="28"/>
      <c r="N135" s="29"/>
      <c r="O135" s="30" t="s">
        <v>196</v>
      </c>
      <c r="P135" s="81">
        <v>3</v>
      </c>
    </row>
    <row r="136" spans="1:16" x14ac:dyDescent="0.2">
      <c r="A136" s="82" t="s">
        <v>250</v>
      </c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4"/>
    </row>
    <row r="137" spans="1:16" x14ac:dyDescent="0.2">
      <c r="A137" s="85" t="s">
        <v>251</v>
      </c>
      <c r="B137" s="13" t="s">
        <v>252</v>
      </c>
      <c r="C137" s="14" t="s">
        <v>253</v>
      </c>
      <c r="D137" s="13"/>
      <c r="E137" s="86"/>
      <c r="F137" s="87"/>
      <c r="G137" s="88"/>
      <c r="H137" s="89"/>
      <c r="I137" s="13"/>
      <c r="J137" s="86"/>
      <c r="K137" s="88" t="s">
        <v>158</v>
      </c>
      <c r="L137" s="27"/>
      <c r="M137" s="28"/>
      <c r="N137" s="29"/>
      <c r="O137" s="30"/>
      <c r="P137" s="68"/>
    </row>
    <row r="138" spans="1:16" x14ac:dyDescent="0.2">
      <c r="A138" s="13" t="s">
        <v>254</v>
      </c>
      <c r="B138" s="20"/>
      <c r="C138" s="21"/>
      <c r="D138" s="69"/>
      <c r="E138" s="70"/>
      <c r="F138" s="20"/>
      <c r="G138" s="37"/>
      <c r="H138" s="26"/>
      <c r="I138" s="71"/>
      <c r="J138" s="70"/>
      <c r="K138" s="24">
        <v>8467</v>
      </c>
      <c r="L138" s="90"/>
      <c r="M138" s="68"/>
      <c r="N138" s="29"/>
      <c r="O138" s="30"/>
      <c r="P138" s="68"/>
    </row>
    <row r="139" spans="1:16" x14ac:dyDescent="0.2">
      <c r="A139" s="13" t="s">
        <v>255</v>
      </c>
      <c r="B139" s="20"/>
      <c r="C139" s="21"/>
      <c r="D139" s="69"/>
      <c r="E139" s="70"/>
      <c r="F139" s="20"/>
      <c r="G139" s="37"/>
      <c r="H139" s="26"/>
      <c r="I139" s="71"/>
      <c r="J139" s="70"/>
      <c r="K139" s="24">
        <v>19016</v>
      </c>
      <c r="L139" s="90"/>
      <c r="M139" s="68"/>
      <c r="N139" s="29"/>
      <c r="O139" s="30"/>
      <c r="P139" s="68"/>
    </row>
    <row r="140" spans="1:16" x14ac:dyDescent="0.2">
      <c r="A140" s="13" t="s">
        <v>256</v>
      </c>
      <c r="B140" s="20"/>
      <c r="C140" s="21"/>
      <c r="D140" s="20"/>
      <c r="E140" s="22"/>
      <c r="F140" s="23"/>
      <c r="G140" s="24"/>
      <c r="H140" s="91"/>
      <c r="I140" s="26"/>
      <c r="J140" s="22"/>
      <c r="K140" s="24">
        <v>110</v>
      </c>
      <c r="L140" s="27"/>
      <c r="M140" s="28"/>
      <c r="N140" s="29"/>
      <c r="O140" s="30"/>
      <c r="P140" s="34"/>
    </row>
    <row r="141" spans="1:16" x14ac:dyDescent="0.2">
      <c r="A141" s="13" t="s">
        <v>257</v>
      </c>
      <c r="B141" s="20"/>
      <c r="C141" s="21"/>
      <c r="D141" s="20"/>
      <c r="E141" s="22"/>
      <c r="F141" s="23"/>
      <c r="G141" s="24"/>
      <c r="H141" s="91"/>
      <c r="I141" s="26"/>
      <c r="J141" s="22"/>
      <c r="K141" s="24">
        <v>5926</v>
      </c>
      <c r="L141" s="27"/>
      <c r="M141" s="28"/>
      <c r="N141" s="29"/>
      <c r="O141" s="30"/>
      <c r="P141" s="34"/>
    </row>
    <row r="142" spans="1:16" x14ac:dyDescent="0.2">
      <c r="A142" s="20" t="s">
        <v>29</v>
      </c>
      <c r="B142" s="20" t="s">
        <v>30</v>
      </c>
      <c r="C142" s="21">
        <v>44747</v>
      </c>
      <c r="D142" s="20"/>
      <c r="E142" s="22"/>
      <c r="F142" s="23"/>
      <c r="G142" s="24"/>
      <c r="H142" s="91"/>
      <c r="I142" s="26"/>
      <c r="J142" s="22"/>
      <c r="K142" s="24">
        <v>-618</v>
      </c>
      <c r="L142" s="27"/>
      <c r="M142" s="28"/>
      <c r="N142" s="29"/>
      <c r="O142" s="30"/>
      <c r="P142" s="34"/>
    </row>
    <row r="143" spans="1:16" x14ac:dyDescent="0.2">
      <c r="A143" s="20" t="s">
        <v>88</v>
      </c>
      <c r="B143" s="20" t="s">
        <v>89</v>
      </c>
      <c r="C143" s="21">
        <v>44761</v>
      </c>
      <c r="D143" s="20"/>
      <c r="E143" s="22"/>
      <c r="F143" s="23"/>
      <c r="G143" s="24"/>
      <c r="H143" s="91"/>
      <c r="I143" s="26"/>
      <c r="J143" s="22"/>
      <c r="K143" s="24">
        <v>10</v>
      </c>
      <c r="L143" s="27"/>
      <c r="M143" s="28"/>
      <c r="N143" s="29"/>
      <c r="O143" s="30"/>
      <c r="P143" s="34"/>
    </row>
    <row r="144" spans="1:16" x14ac:dyDescent="0.2">
      <c r="A144" s="42" t="s">
        <v>176</v>
      </c>
      <c r="B144" s="20" t="s">
        <v>136</v>
      </c>
      <c r="C144" s="21">
        <v>44761</v>
      </c>
      <c r="D144" s="20"/>
      <c r="E144" s="22"/>
      <c r="F144" s="23"/>
      <c r="G144" s="24"/>
      <c r="H144" s="91"/>
      <c r="I144" s="26"/>
      <c r="J144" s="22"/>
      <c r="K144" s="24">
        <v>15</v>
      </c>
      <c r="L144" s="27"/>
      <c r="M144" s="28"/>
      <c r="N144" s="29"/>
      <c r="O144" s="30"/>
      <c r="P144" s="34"/>
    </row>
    <row r="145" spans="1:16" x14ac:dyDescent="0.2">
      <c r="A145" s="42" t="s">
        <v>177</v>
      </c>
      <c r="B145" s="20" t="s">
        <v>49</v>
      </c>
      <c r="C145" s="21">
        <v>44735</v>
      </c>
      <c r="D145" s="20"/>
      <c r="E145" s="22"/>
      <c r="F145" s="23"/>
      <c r="G145" s="24"/>
      <c r="H145" s="91"/>
      <c r="I145" s="26"/>
      <c r="J145" s="22"/>
      <c r="K145" s="24">
        <v>13</v>
      </c>
      <c r="L145" s="27"/>
      <c r="M145" s="28"/>
      <c r="N145" s="29"/>
      <c r="O145" s="30"/>
      <c r="P145" s="34"/>
    </row>
    <row r="146" spans="1:16" x14ac:dyDescent="0.2">
      <c r="A146" s="20" t="s">
        <v>129</v>
      </c>
      <c r="B146" s="20" t="s">
        <v>130</v>
      </c>
      <c r="C146" s="21">
        <v>44775</v>
      </c>
      <c r="D146" s="20"/>
      <c r="E146" s="22"/>
      <c r="F146" s="23"/>
      <c r="G146" s="24"/>
      <c r="H146" s="91"/>
      <c r="I146" s="26"/>
      <c r="J146" s="22"/>
      <c r="K146" s="24">
        <v>10</v>
      </c>
      <c r="L146" s="27"/>
      <c r="M146" s="28"/>
      <c r="N146" s="29"/>
      <c r="O146" s="30"/>
      <c r="P146" s="34"/>
    </row>
    <row r="147" spans="1:16" x14ac:dyDescent="0.2">
      <c r="A147" s="20" t="s">
        <v>86</v>
      </c>
      <c r="B147" s="20" t="s">
        <v>87</v>
      </c>
      <c r="C147" s="21">
        <v>44777</v>
      </c>
      <c r="D147" s="20"/>
      <c r="E147" s="22"/>
      <c r="F147" s="23"/>
      <c r="G147" s="24"/>
      <c r="H147" s="91"/>
      <c r="I147" s="26"/>
      <c r="J147" s="22"/>
      <c r="K147" s="24">
        <v>14</v>
      </c>
      <c r="L147" s="27"/>
      <c r="M147" s="28"/>
      <c r="N147" s="29"/>
      <c r="O147" s="30"/>
      <c r="P147" s="34"/>
    </row>
    <row r="148" spans="1:16" x14ac:dyDescent="0.2">
      <c r="A148" s="20"/>
      <c r="B148" s="20"/>
      <c r="C148" s="21"/>
      <c r="D148" s="20"/>
      <c r="E148" s="22"/>
      <c r="F148" s="23"/>
      <c r="G148" s="24"/>
      <c r="H148" s="91"/>
      <c r="I148" s="26"/>
      <c r="J148" s="22"/>
      <c r="K148" s="24"/>
      <c r="L148" s="27"/>
      <c r="M148" s="28"/>
      <c r="N148" s="29"/>
      <c r="O148" s="30"/>
      <c r="P148" s="34"/>
    </row>
    <row r="149" spans="1:16" x14ac:dyDescent="0.2">
      <c r="A149" s="82" t="s">
        <v>258</v>
      </c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92"/>
      <c r="O149" s="93"/>
      <c r="P149" s="94"/>
    </row>
    <row r="150" spans="1:16" x14ac:dyDescent="0.2">
      <c r="A150" s="13" t="s">
        <v>2</v>
      </c>
      <c r="B150" s="13" t="s">
        <v>3</v>
      </c>
      <c r="C150" s="14" t="s">
        <v>259</v>
      </c>
      <c r="D150" s="13" t="s">
        <v>5</v>
      </c>
      <c r="E150" s="15" t="s">
        <v>260</v>
      </c>
      <c r="F150" s="13" t="s">
        <v>261</v>
      </c>
      <c r="G150" s="13" t="s">
        <v>262</v>
      </c>
      <c r="H150" s="16" t="s">
        <v>9</v>
      </c>
      <c r="I150" s="13" t="s">
        <v>10</v>
      </c>
      <c r="J150" s="15" t="s">
        <v>11</v>
      </c>
      <c r="K150" s="13" t="s">
        <v>12</v>
      </c>
      <c r="L150" s="13" t="s">
        <v>13</v>
      </c>
      <c r="M150" s="17" t="s">
        <v>14</v>
      </c>
      <c r="N150" s="18"/>
      <c r="O150" s="95"/>
      <c r="P150" s="17"/>
    </row>
    <row r="151" spans="1:16" x14ac:dyDescent="0.2">
      <c r="A151" s="20" t="s">
        <v>263</v>
      </c>
      <c r="B151" s="20" t="s">
        <v>264</v>
      </c>
      <c r="C151" s="21">
        <v>44601</v>
      </c>
      <c r="D151" s="20">
        <v>-1</v>
      </c>
      <c r="E151" s="22">
        <v>1.1438999999999999</v>
      </c>
      <c r="F151" s="23">
        <v>3250</v>
      </c>
      <c r="G151" s="24">
        <f>(D151*F151)/E151</f>
        <v>-2841.1574438325028</v>
      </c>
      <c r="H151" s="91">
        <v>2735</v>
      </c>
      <c r="I151" s="26">
        <v>0</v>
      </c>
      <c r="J151" s="22">
        <f>C154</f>
        <v>1.0185373803218578</v>
      </c>
      <c r="K151" s="24">
        <f>-(D151*H151)/J151</f>
        <v>2685.223</v>
      </c>
      <c r="L151" s="27">
        <f>M151/(-G151)</f>
        <v>5.4884126246153866E-2</v>
      </c>
      <c r="M151" s="28">
        <f>-G151-K151</f>
        <v>155.93444383250289</v>
      </c>
      <c r="N151" s="19"/>
      <c r="O151" s="19"/>
      <c r="P151" s="19" t="s">
        <v>265</v>
      </c>
    </row>
    <row r="152" spans="1:16" x14ac:dyDescent="0.2">
      <c r="A152" s="20" t="s">
        <v>266</v>
      </c>
      <c r="B152" s="20" t="s">
        <v>267</v>
      </c>
      <c r="C152" s="21">
        <v>44638</v>
      </c>
      <c r="D152" s="20">
        <v>-1</v>
      </c>
      <c r="E152" s="22">
        <v>1.1060000000000001</v>
      </c>
      <c r="F152" s="23">
        <v>1000</v>
      </c>
      <c r="G152" s="24">
        <f>(D152*F152)/E152</f>
        <v>-904.15913200723321</v>
      </c>
      <c r="H152" s="91">
        <v>876.5</v>
      </c>
      <c r="I152" s="26">
        <v>0</v>
      </c>
      <c r="J152" s="22">
        <f>C154</f>
        <v>1.0185373803218578</v>
      </c>
      <c r="K152" s="24">
        <f>-(D152*H152)/J152</f>
        <v>860.54769999999996</v>
      </c>
      <c r="L152" s="27">
        <f>M152/(-G152)</f>
        <v>4.8234243799999972E-2</v>
      </c>
      <c r="M152" s="28">
        <f>-G152-K152</f>
        <v>43.611432007233248</v>
      </c>
      <c r="N152" s="19"/>
      <c r="O152" s="19"/>
      <c r="P152" s="19" t="s">
        <v>161</v>
      </c>
    </row>
    <row r="153" spans="1:16" x14ac:dyDescent="0.2">
      <c r="A153" s="2" t="s">
        <v>268</v>
      </c>
      <c r="B153" s="3"/>
      <c r="C153" s="3"/>
      <c r="D153" s="96"/>
      <c r="E153" s="97" t="s">
        <v>269</v>
      </c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</row>
    <row r="154" spans="1:16" x14ac:dyDescent="0.2">
      <c r="A154" s="20" t="s">
        <v>270</v>
      </c>
      <c r="B154" s="20" t="s">
        <v>271</v>
      </c>
      <c r="C154" s="98">
        <f>'[1]auto data'!D3</f>
        <v>1.0185373803218578</v>
      </c>
      <c r="D154" s="20"/>
      <c r="E154" s="99" t="s">
        <v>272</v>
      </c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1"/>
    </row>
    <row r="155" spans="1:16" x14ac:dyDescent="0.2">
      <c r="A155" s="20" t="s">
        <v>273</v>
      </c>
      <c r="B155" s="20" t="s">
        <v>274</v>
      </c>
      <c r="C155" s="98">
        <f>'[1]auto data'!D4</f>
        <v>1.3173494928204452</v>
      </c>
      <c r="D155" s="20"/>
      <c r="E155" s="102" t="s">
        <v>275</v>
      </c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4"/>
    </row>
    <row r="156" spans="1:16" x14ac:dyDescent="0.2">
      <c r="A156" s="20" t="s">
        <v>276</v>
      </c>
      <c r="B156" s="20" t="s">
        <v>277</v>
      </c>
      <c r="C156" s="98">
        <f>'[1]auto data'!D5</f>
        <v>1.4740566037735849</v>
      </c>
      <c r="D156" s="20"/>
      <c r="E156" s="105" t="s">
        <v>278</v>
      </c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7"/>
    </row>
    <row r="157" spans="1:16" x14ac:dyDescent="0.2">
      <c r="A157" s="20" t="s">
        <v>279</v>
      </c>
      <c r="B157" s="20" t="s">
        <v>280</v>
      </c>
      <c r="C157" s="98">
        <f>'[1]auto data'!D6</f>
        <v>0.8437394532568343</v>
      </c>
      <c r="D157" s="20"/>
      <c r="E157" s="108" t="s">
        <v>281</v>
      </c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10"/>
    </row>
    <row r="158" spans="1:16" x14ac:dyDescent="0.2">
      <c r="A158" s="82" t="s">
        <v>282</v>
      </c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4"/>
    </row>
    <row r="159" spans="1:16" x14ac:dyDescent="0.2">
      <c r="A159" s="19" t="s">
        <v>283</v>
      </c>
      <c r="B159" s="19"/>
      <c r="C159" s="19"/>
      <c r="D159" s="19"/>
      <c r="E159" s="111">
        <f>SUM(G2:G136)</f>
        <v>55099.46579039775</v>
      </c>
      <c r="F159" s="20"/>
      <c r="G159" s="112" t="s">
        <v>284</v>
      </c>
      <c r="H159" s="112"/>
      <c r="I159" s="112"/>
      <c r="J159" s="112"/>
      <c r="K159" s="113">
        <f>SUM(K2:K136)</f>
        <v>56154.819157113809</v>
      </c>
      <c r="L159" s="20"/>
      <c r="M159" s="114" t="s">
        <v>285</v>
      </c>
      <c r="N159" s="115"/>
      <c r="O159" s="116"/>
      <c r="P159" s="117">
        <f>P160+M100+M97+M72+M56+M44+M23+M2+M81</f>
        <v>59005.351242555822</v>
      </c>
    </row>
    <row r="160" spans="1:16" x14ac:dyDescent="0.2">
      <c r="A160" s="19" t="s">
        <v>286</v>
      </c>
      <c r="B160" s="19"/>
      <c r="C160" s="19"/>
      <c r="D160" s="19"/>
      <c r="E160" s="111">
        <v>25000</v>
      </c>
      <c r="F160" s="20"/>
      <c r="G160" s="118" t="s">
        <v>287</v>
      </c>
      <c r="H160" s="119"/>
      <c r="I160" s="119"/>
      <c r="J160" s="120"/>
      <c r="K160" s="121">
        <f>K159-E159</f>
        <v>1055.3533667160591</v>
      </c>
      <c r="L160" s="20"/>
      <c r="M160" s="114" t="s">
        <v>288</v>
      </c>
      <c r="N160" s="115"/>
      <c r="O160" s="116"/>
      <c r="P160" s="122">
        <f>E161-E159</f>
        <v>3063.0800854419867</v>
      </c>
    </row>
    <row r="161" spans="1:16" x14ac:dyDescent="0.2">
      <c r="A161" s="19" t="s">
        <v>289</v>
      </c>
      <c r="B161" s="19"/>
      <c r="C161" s="19"/>
      <c r="D161" s="19"/>
      <c r="E161" s="111">
        <f>E160+K161</f>
        <v>58162.545875839736</v>
      </c>
      <c r="F161" s="20"/>
      <c r="G161" s="112" t="s">
        <v>290</v>
      </c>
      <c r="H161" s="112"/>
      <c r="I161" s="112"/>
      <c r="J161" s="112"/>
      <c r="K161" s="113">
        <f>SUM(K138:K149)+M151+M152</f>
        <v>33162.545875839736</v>
      </c>
      <c r="L161" s="37"/>
      <c r="M161" s="114" t="s">
        <v>291</v>
      </c>
      <c r="N161" s="115"/>
      <c r="O161" s="116"/>
      <c r="P161" s="123">
        <f>P160/P159</f>
        <v>5.1911903258578231E-2</v>
      </c>
    </row>
    <row r="162" spans="1:16" x14ac:dyDescent="0.2">
      <c r="A162" s="124" t="s">
        <v>292</v>
      </c>
      <c r="B162" s="19"/>
      <c r="C162" s="19"/>
      <c r="D162" s="19"/>
      <c r="E162" s="111">
        <f>E161+K162+K161</f>
        <v>91326.451965729182</v>
      </c>
      <c r="F162" s="20"/>
      <c r="G162" s="112" t="s">
        <v>293</v>
      </c>
      <c r="H162" s="112"/>
      <c r="I162" s="112"/>
      <c r="J162" s="112"/>
      <c r="K162" s="125">
        <f>(P159/E160)-1</f>
        <v>1.360214049702233</v>
      </c>
      <c r="L162" s="37"/>
      <c r="M162" s="126" t="s">
        <v>294</v>
      </c>
      <c r="N162" s="127"/>
      <c r="O162" s="128"/>
      <c r="P162" s="129">
        <f>P100+P97+P81+P72+P56+P44+P23+P2+P161</f>
        <v>0.99129152852193392</v>
      </c>
    </row>
    <row r="163" spans="1:16" x14ac:dyDescent="0.2">
      <c r="A163" s="82" t="s">
        <v>295</v>
      </c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4"/>
    </row>
    <row r="164" spans="1:16" x14ac:dyDescent="0.2">
      <c r="A164" s="13" t="s">
        <v>296</v>
      </c>
      <c r="B164" s="13" t="s">
        <v>3</v>
      </c>
      <c r="C164" s="13" t="s">
        <v>297</v>
      </c>
      <c r="D164" s="13" t="s">
        <v>5</v>
      </c>
      <c r="E164" s="15" t="s">
        <v>298</v>
      </c>
      <c r="F164" s="13" t="s">
        <v>299</v>
      </c>
      <c r="G164" s="13" t="s">
        <v>300</v>
      </c>
      <c r="H164" s="17" t="s">
        <v>301</v>
      </c>
      <c r="I164" s="17" t="s">
        <v>302</v>
      </c>
      <c r="J164" s="126" t="s">
        <v>303</v>
      </c>
      <c r="K164" s="126" t="s">
        <v>304</v>
      </c>
      <c r="L164" s="127"/>
      <c r="M164" s="127"/>
      <c r="N164" s="127"/>
      <c r="O164" s="127"/>
      <c r="P164" s="128"/>
    </row>
    <row r="165" spans="1:16" x14ac:dyDescent="0.2">
      <c r="A165" s="20" t="s">
        <v>305</v>
      </c>
      <c r="B165" s="20" t="s">
        <v>306</v>
      </c>
      <c r="C165" s="130"/>
      <c r="D165" s="20">
        <v>30</v>
      </c>
      <c r="E165" s="22">
        <f>C157</f>
        <v>0.8437394532568343</v>
      </c>
      <c r="F165" s="131">
        <f>'[1]auto data'!W7</f>
        <v>3257</v>
      </c>
      <c r="G165" s="24">
        <f>(F165/100)/E165*D165</f>
        <v>1158.0589200000002</v>
      </c>
      <c r="H165" s="132">
        <v>2000</v>
      </c>
      <c r="I165" s="68" t="s">
        <v>307</v>
      </c>
      <c r="J165" s="22" t="s">
        <v>308</v>
      </c>
      <c r="K165" s="133" t="s">
        <v>309</v>
      </c>
      <c r="L165" s="134"/>
      <c r="M165" s="134"/>
      <c r="N165" s="134"/>
      <c r="O165" s="134"/>
      <c r="P165" s="135"/>
    </row>
    <row r="166" spans="1:16" x14ac:dyDescent="0.2">
      <c r="A166" s="20" t="s">
        <v>310</v>
      </c>
      <c r="B166" s="20" t="s">
        <v>311</v>
      </c>
      <c r="C166" s="130"/>
      <c r="D166" s="20">
        <v>100</v>
      </c>
      <c r="E166" s="22">
        <f>C154</f>
        <v>1.0185373803218578</v>
      </c>
      <c r="F166" s="77">
        <f>'[1]auto data'!W9</f>
        <v>3.45</v>
      </c>
      <c r="G166" s="24">
        <f t="shared" ref="G166:G174" si="57">(F166/E166)*D166</f>
        <v>338.721</v>
      </c>
      <c r="H166" s="136">
        <v>3</v>
      </c>
      <c r="I166" s="68" t="s">
        <v>312</v>
      </c>
      <c r="J166" s="22" t="s">
        <v>308</v>
      </c>
      <c r="K166" s="133" t="s">
        <v>313</v>
      </c>
      <c r="L166" s="134"/>
      <c r="M166" s="134"/>
      <c r="N166" s="134"/>
      <c r="O166" s="134"/>
      <c r="P166" s="135"/>
    </row>
    <row r="167" spans="1:16" x14ac:dyDescent="0.2">
      <c r="A167" s="20" t="s">
        <v>314</v>
      </c>
      <c r="B167" s="20" t="s">
        <v>315</v>
      </c>
      <c r="C167" s="130"/>
      <c r="D167" s="20">
        <v>10</v>
      </c>
      <c r="E167" s="22">
        <f>C154</f>
        <v>1.0185373803218578</v>
      </c>
      <c r="F167" s="77">
        <f>'[1]auto data'!W8</f>
        <v>44.77</v>
      </c>
      <c r="G167" s="24">
        <f t="shared" si="57"/>
        <v>439.55186000000003</v>
      </c>
      <c r="H167" s="136">
        <v>40</v>
      </c>
      <c r="I167" s="68" t="s">
        <v>312</v>
      </c>
      <c r="J167" s="22" t="s">
        <v>308</v>
      </c>
      <c r="K167" s="133" t="s">
        <v>313</v>
      </c>
      <c r="L167" s="134"/>
      <c r="M167" s="134"/>
      <c r="N167" s="134"/>
      <c r="O167" s="134"/>
      <c r="P167" s="135"/>
    </row>
    <row r="168" spans="1:16" x14ac:dyDescent="0.2">
      <c r="A168" s="20" t="s">
        <v>316</v>
      </c>
      <c r="B168" s="20" t="s">
        <v>317</v>
      </c>
      <c r="C168" s="130"/>
      <c r="D168" s="20">
        <v>50</v>
      </c>
      <c r="E168" s="22">
        <f>C156</f>
        <v>1.4740566037735849</v>
      </c>
      <c r="F168" s="77">
        <f>'[1]auto data'!W12</f>
        <v>18.14</v>
      </c>
      <c r="G168" s="24">
        <f t="shared" si="57"/>
        <v>615.30880000000002</v>
      </c>
      <c r="H168" s="136">
        <v>11.5</v>
      </c>
      <c r="I168" s="68" t="s">
        <v>318</v>
      </c>
      <c r="J168" s="22" t="s">
        <v>308</v>
      </c>
      <c r="K168" s="133" t="s">
        <v>319</v>
      </c>
      <c r="L168" s="134"/>
      <c r="M168" s="134"/>
      <c r="N168" s="134"/>
      <c r="O168" s="134"/>
      <c r="P168" s="135"/>
    </row>
    <row r="169" spans="1:16" x14ac:dyDescent="0.2">
      <c r="A169" s="20" t="s">
        <v>320</v>
      </c>
      <c r="B169" s="20" t="s">
        <v>321</v>
      </c>
      <c r="C169" s="130" t="s">
        <v>322</v>
      </c>
      <c r="D169" s="20">
        <v>500</v>
      </c>
      <c r="E169" s="22">
        <f>C155</f>
        <v>1.3173494928204452</v>
      </c>
      <c r="F169" s="77">
        <f>'[1]auto data'!W13</f>
        <v>1.95</v>
      </c>
      <c r="G169" s="24">
        <f t="shared" si="57"/>
        <v>740.12250000000006</v>
      </c>
      <c r="H169" s="136">
        <v>0.3</v>
      </c>
      <c r="I169" s="68" t="s">
        <v>323</v>
      </c>
      <c r="J169" s="22" t="s">
        <v>308</v>
      </c>
      <c r="K169" s="133" t="s">
        <v>324</v>
      </c>
      <c r="L169" s="134"/>
      <c r="M169" s="134"/>
      <c r="N169" s="134"/>
      <c r="O169" s="134"/>
      <c r="P169" s="135"/>
    </row>
    <row r="170" spans="1:16" x14ac:dyDescent="0.2">
      <c r="A170" s="20" t="s">
        <v>325</v>
      </c>
      <c r="B170" s="20" t="s">
        <v>326</v>
      </c>
      <c r="C170" s="130"/>
      <c r="D170" s="20">
        <v>1000</v>
      </c>
      <c r="E170" s="22">
        <f>C155</f>
        <v>1.3173494928204452</v>
      </c>
      <c r="F170" s="77">
        <f>'[1]auto data'!W14</f>
        <v>0.52</v>
      </c>
      <c r="G170" s="24">
        <f t="shared" si="57"/>
        <v>394.73200000000003</v>
      </c>
      <c r="H170" s="136">
        <v>0.4</v>
      </c>
      <c r="I170" s="68" t="s">
        <v>323</v>
      </c>
      <c r="J170" s="22" t="s">
        <v>327</v>
      </c>
      <c r="K170" s="133" t="s">
        <v>324</v>
      </c>
      <c r="L170" s="134"/>
      <c r="M170" s="134"/>
      <c r="N170" s="134"/>
      <c r="O170" s="134"/>
      <c r="P170" s="135"/>
    </row>
    <row r="171" spans="1:16" x14ac:dyDescent="0.2">
      <c r="A171" s="20" t="s">
        <v>328</v>
      </c>
      <c r="B171" s="20" t="s">
        <v>329</v>
      </c>
      <c r="C171" s="130"/>
      <c r="D171" s="20">
        <v>400</v>
      </c>
      <c r="E171" s="22">
        <f>C155</f>
        <v>1.3173494928204452</v>
      </c>
      <c r="F171" s="77">
        <f>'[1]auto data'!W15</f>
        <v>1.29</v>
      </c>
      <c r="G171" s="24">
        <f t="shared" si="57"/>
        <v>391.69560000000001</v>
      </c>
      <c r="H171" s="136">
        <v>0.75</v>
      </c>
      <c r="I171" s="68" t="s">
        <v>318</v>
      </c>
      <c r="J171" s="22" t="s">
        <v>327</v>
      </c>
      <c r="K171" s="133" t="s">
        <v>330</v>
      </c>
      <c r="L171" s="134"/>
      <c r="M171" s="134"/>
      <c r="N171" s="134"/>
      <c r="O171" s="134"/>
      <c r="P171" s="135"/>
    </row>
    <row r="172" spans="1:16" x14ac:dyDescent="0.2">
      <c r="A172" s="20" t="s">
        <v>331</v>
      </c>
      <c r="B172" s="20" t="s">
        <v>332</v>
      </c>
      <c r="C172" s="130"/>
      <c r="D172" s="20">
        <v>24</v>
      </c>
      <c r="E172" s="22">
        <f>C154</f>
        <v>1.0185373803218578</v>
      </c>
      <c r="F172" s="77">
        <f>'[1]auto data'!W16</f>
        <v>7.23</v>
      </c>
      <c r="G172" s="24">
        <f t="shared" si="57"/>
        <v>170.36193600000001</v>
      </c>
      <c r="H172" s="136">
        <v>5</v>
      </c>
      <c r="I172" s="68" t="s">
        <v>312</v>
      </c>
      <c r="J172" s="22" t="s">
        <v>327</v>
      </c>
      <c r="K172" s="133" t="s">
        <v>330</v>
      </c>
      <c r="L172" s="134"/>
      <c r="M172" s="134"/>
      <c r="N172" s="134"/>
      <c r="O172" s="134"/>
      <c r="P172" s="135"/>
    </row>
    <row r="173" spans="1:16" x14ac:dyDescent="0.2">
      <c r="A173" s="20" t="s">
        <v>333</v>
      </c>
      <c r="B173" s="20" t="s">
        <v>228</v>
      </c>
      <c r="C173" s="130"/>
      <c r="D173" s="20">
        <v>20</v>
      </c>
      <c r="E173" s="22">
        <f>C157</f>
        <v>0.8437394532568343</v>
      </c>
      <c r="F173" s="77">
        <f>'[1]auto data'!W17</f>
        <v>6.1</v>
      </c>
      <c r="G173" s="24">
        <f t="shared" si="57"/>
        <v>144.59439999999998</v>
      </c>
      <c r="H173" s="136">
        <v>5</v>
      </c>
      <c r="I173" s="68" t="s">
        <v>307</v>
      </c>
      <c r="J173" s="22" t="s">
        <v>327</v>
      </c>
      <c r="K173" s="133" t="s">
        <v>330</v>
      </c>
      <c r="L173" s="134"/>
      <c r="M173" s="134"/>
      <c r="N173" s="134"/>
      <c r="O173" s="134"/>
      <c r="P173" s="135"/>
    </row>
    <row r="174" spans="1:16" x14ac:dyDescent="0.2">
      <c r="A174" s="20" t="s">
        <v>334</v>
      </c>
      <c r="B174" s="20" t="s">
        <v>335</v>
      </c>
      <c r="C174" s="130"/>
      <c r="D174" s="20">
        <v>1000</v>
      </c>
      <c r="E174" s="22">
        <f>C154</f>
        <v>1.0185373803218578</v>
      </c>
      <c r="F174" s="77">
        <f>'[1]auto data'!J40</f>
        <v>0.26769999999999999</v>
      </c>
      <c r="G174" s="24">
        <f t="shared" si="57"/>
        <v>262.82785999999999</v>
      </c>
      <c r="H174" s="136">
        <v>0.2</v>
      </c>
      <c r="I174" s="68" t="s">
        <v>336</v>
      </c>
      <c r="J174" s="22" t="s">
        <v>327</v>
      </c>
      <c r="K174" s="133" t="s">
        <v>330</v>
      </c>
      <c r="L174" s="134"/>
      <c r="M174" s="134"/>
      <c r="N174" s="134"/>
      <c r="O174" s="134"/>
      <c r="P174" s="135"/>
    </row>
  </sheetData>
  <mergeCells count="37">
    <mergeCell ref="E157:P157"/>
    <mergeCell ref="G159:J159"/>
    <mergeCell ref="G160:J160"/>
    <mergeCell ref="G161:J161"/>
    <mergeCell ref="G162:J162"/>
    <mergeCell ref="N149:P149"/>
    <mergeCell ref="A153:C153"/>
    <mergeCell ref="E153:P153"/>
    <mergeCell ref="E154:P154"/>
    <mergeCell ref="E155:P155"/>
    <mergeCell ref="E156:P156"/>
    <mergeCell ref="M82:O82"/>
    <mergeCell ref="A97:F97"/>
    <mergeCell ref="G97:K97"/>
    <mergeCell ref="M97:O97"/>
    <mergeCell ref="A100:F100"/>
    <mergeCell ref="G100:K100"/>
    <mergeCell ref="M100:O100"/>
    <mergeCell ref="A72:F72"/>
    <mergeCell ref="G72:K72"/>
    <mergeCell ref="M72:O72"/>
    <mergeCell ref="A81:F81"/>
    <mergeCell ref="G81:K81"/>
    <mergeCell ref="M81:O81"/>
    <mergeCell ref="A44:F44"/>
    <mergeCell ref="G44:K44"/>
    <mergeCell ref="M44:O44"/>
    <mergeCell ref="A56:F56"/>
    <mergeCell ref="G56:K56"/>
    <mergeCell ref="M56:O56"/>
    <mergeCell ref="A1:P1"/>
    <mergeCell ref="A2:F2"/>
    <mergeCell ref="G2:K2"/>
    <mergeCell ref="M2:O2"/>
    <mergeCell ref="A23:F23"/>
    <mergeCell ref="G23:K23"/>
    <mergeCell ref="M23:O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2022-08-07T06:28:02Z</dcterms:created>
  <dcterms:modified xsi:type="dcterms:W3CDTF">2022-08-07T06:29:30Z</dcterms:modified>
</cp:coreProperties>
</file>