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3"/>
  <workbookPr/>
  <mc:AlternateContent xmlns:mc="http://schemas.openxmlformats.org/markup-compatibility/2006">
    <mc:Choice Requires="x15">
      <x15ac:absPath xmlns:x15ac="http://schemas.microsoft.com/office/spreadsheetml/2010/11/ac" url="/Users/belder/Desktop/"/>
    </mc:Choice>
  </mc:AlternateContent>
  <xr:revisionPtr revIDLastSave="0" documentId="8_{1FAFC021-F6EC-BB4B-AC99-2CA64C26563F}" xr6:coauthVersionLast="47" xr6:coauthVersionMax="47" xr10:uidLastSave="{00000000-0000-0000-0000-000000000000}"/>
  <bookViews>
    <workbookView xWindow="480" yWindow="1000" windowWidth="25040" windowHeight="14420" xr2:uid="{B004EB02-4F45-F340-93B9-819D3AE1EC67}"/>
  </bookViews>
  <sheets>
    <sheet name="Blad1" sheetId="1" r:id="rId1"/>
  </sheets>
  <externalReferences>
    <externalReference r:id="rId2"/>
  </externalReferenc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7" i="1" l="1"/>
  <c r="F176" i="1"/>
  <c r="E176" i="1"/>
  <c r="F175" i="1"/>
  <c r="F174" i="1"/>
  <c r="F173" i="1"/>
  <c r="F172" i="1"/>
  <c r="E172" i="1"/>
  <c r="G172" i="1" s="1"/>
  <c r="F171" i="1"/>
  <c r="G171" i="1" s="1"/>
  <c r="G170" i="1"/>
  <c r="F170" i="1"/>
  <c r="E170" i="1"/>
  <c r="F169" i="1"/>
  <c r="F168" i="1"/>
  <c r="E168" i="1"/>
  <c r="G168" i="1" s="1"/>
  <c r="F167" i="1"/>
  <c r="F166" i="1"/>
  <c r="F165" i="1"/>
  <c r="F164" i="1"/>
  <c r="E164" i="1"/>
  <c r="G164" i="1" s="1"/>
  <c r="C156" i="1"/>
  <c r="C155" i="1"/>
  <c r="C154" i="1"/>
  <c r="E171" i="1" s="1"/>
  <c r="C153" i="1"/>
  <c r="E167" i="1" s="1"/>
  <c r="J151" i="1"/>
  <c r="H151" i="1"/>
  <c r="K151" i="1" s="1"/>
  <c r="M151" i="1" s="1"/>
  <c r="G151" i="1"/>
  <c r="G150" i="1"/>
  <c r="H121" i="1"/>
  <c r="G121" i="1"/>
  <c r="J120" i="1"/>
  <c r="H120" i="1"/>
  <c r="K120" i="1" s="1"/>
  <c r="L120" i="1" s="1"/>
  <c r="G120" i="1"/>
  <c r="J119" i="1"/>
  <c r="H119" i="1"/>
  <c r="K119" i="1" s="1"/>
  <c r="L119" i="1" s="1"/>
  <c r="G119" i="1"/>
  <c r="J118" i="1"/>
  <c r="K118" i="1" s="1"/>
  <c r="L118" i="1" s="1"/>
  <c r="H118" i="1"/>
  <c r="G118" i="1"/>
  <c r="G117" i="1"/>
  <c r="J116" i="1"/>
  <c r="H116" i="1"/>
  <c r="K116" i="1" s="1"/>
  <c r="L116" i="1" s="1"/>
  <c r="G116" i="1"/>
  <c r="J115" i="1"/>
  <c r="H115" i="1"/>
  <c r="K115" i="1" s="1"/>
  <c r="L115" i="1" s="1"/>
  <c r="G115" i="1"/>
  <c r="H114" i="1"/>
  <c r="K114" i="1" s="1"/>
  <c r="L114" i="1" s="1"/>
  <c r="G114" i="1"/>
  <c r="J113" i="1"/>
  <c r="K113" i="1" s="1"/>
  <c r="L113" i="1" s="1"/>
  <c r="H113" i="1"/>
  <c r="G113" i="1"/>
  <c r="K112" i="1"/>
  <c r="L112" i="1" s="1"/>
  <c r="H112" i="1"/>
  <c r="G112" i="1"/>
  <c r="H111" i="1"/>
  <c r="G111" i="1"/>
  <c r="L110" i="1"/>
  <c r="J110" i="1"/>
  <c r="H110" i="1"/>
  <c r="K110" i="1" s="1"/>
  <c r="G110" i="1"/>
  <c r="J109" i="1"/>
  <c r="H109" i="1"/>
  <c r="K109" i="1" s="1"/>
  <c r="L109" i="1" s="1"/>
  <c r="G109" i="1"/>
  <c r="J108" i="1"/>
  <c r="K108" i="1" s="1"/>
  <c r="L108" i="1" s="1"/>
  <c r="H108" i="1"/>
  <c r="G108" i="1"/>
  <c r="K107" i="1"/>
  <c r="L107" i="1" s="1"/>
  <c r="J107" i="1"/>
  <c r="H107" i="1"/>
  <c r="G107" i="1"/>
  <c r="L106" i="1"/>
  <c r="H106" i="1"/>
  <c r="K106" i="1" s="1"/>
  <c r="G106" i="1"/>
  <c r="J105" i="1"/>
  <c r="H105" i="1"/>
  <c r="K105" i="1" s="1"/>
  <c r="L105" i="1" s="1"/>
  <c r="G105" i="1"/>
  <c r="J104" i="1"/>
  <c r="H104" i="1"/>
  <c r="K104" i="1" s="1"/>
  <c r="L104" i="1" s="1"/>
  <c r="G104" i="1"/>
  <c r="J103" i="1"/>
  <c r="K103" i="1" s="1"/>
  <c r="L103" i="1" s="1"/>
  <c r="H103" i="1"/>
  <c r="G103" i="1"/>
  <c r="M102" i="1"/>
  <c r="L102" i="1"/>
  <c r="J102" i="1"/>
  <c r="H102" i="1"/>
  <c r="K102" i="1" s="1"/>
  <c r="G102" i="1"/>
  <c r="J101" i="1"/>
  <c r="H101" i="1"/>
  <c r="K101" i="1" s="1"/>
  <c r="L101" i="1" s="1"/>
  <c r="G101" i="1"/>
  <c r="H100" i="1"/>
  <c r="K100" i="1" s="1"/>
  <c r="L100" i="1" s="1"/>
  <c r="G100" i="1"/>
  <c r="J99" i="1"/>
  <c r="G99" i="1"/>
  <c r="K98" i="1"/>
  <c r="L98" i="1" s="1"/>
  <c r="J98" i="1"/>
  <c r="H98" i="1"/>
  <c r="H99" i="1" s="1"/>
  <c r="K99" i="1" s="1"/>
  <c r="L99" i="1" s="1"/>
  <c r="G98" i="1"/>
  <c r="J97" i="1"/>
  <c r="H97" i="1"/>
  <c r="K97" i="1" s="1"/>
  <c r="G97" i="1"/>
  <c r="L97" i="1" s="1"/>
  <c r="H96" i="1"/>
  <c r="K96" i="1" s="1"/>
  <c r="G96" i="1"/>
  <c r="H95" i="1"/>
  <c r="K95" i="1" s="1"/>
  <c r="G95" i="1"/>
  <c r="J94" i="1"/>
  <c r="H94" i="1"/>
  <c r="K94" i="1" s="1"/>
  <c r="L94" i="1" s="1"/>
  <c r="G94" i="1"/>
  <c r="J93" i="1"/>
  <c r="K93" i="1" s="1"/>
  <c r="L93" i="1" s="1"/>
  <c r="H93" i="1"/>
  <c r="G93" i="1"/>
  <c r="K92" i="1"/>
  <c r="L92" i="1" s="1"/>
  <c r="H92" i="1"/>
  <c r="G92" i="1"/>
  <c r="K91" i="1"/>
  <c r="J91" i="1"/>
  <c r="I91" i="1"/>
  <c r="H91" i="1"/>
  <c r="G91" i="1"/>
  <c r="J90" i="1"/>
  <c r="I90" i="1"/>
  <c r="K90" i="1" s="1"/>
  <c r="L90" i="1" s="1"/>
  <c r="H90" i="1"/>
  <c r="G90" i="1"/>
  <c r="M89" i="1"/>
  <c r="L89" i="1"/>
  <c r="J89" i="1"/>
  <c r="I89" i="1"/>
  <c r="H89" i="1"/>
  <c r="K89" i="1" s="1"/>
  <c r="G89" i="1"/>
  <c r="J88" i="1"/>
  <c r="K88" i="1" s="1"/>
  <c r="L88" i="1" s="1"/>
  <c r="H88" i="1"/>
  <c r="G88" i="1"/>
  <c r="K87" i="1"/>
  <c r="I87" i="1"/>
  <c r="H87" i="1"/>
  <c r="G87" i="1"/>
  <c r="K85" i="1"/>
  <c r="I85" i="1"/>
  <c r="H85" i="1"/>
  <c r="G85" i="1"/>
  <c r="K84" i="1"/>
  <c r="L84" i="1" s="1"/>
  <c r="H84" i="1"/>
  <c r="G84" i="1"/>
  <c r="M84" i="1" s="1"/>
  <c r="I83" i="1"/>
  <c r="K83" i="1" s="1"/>
  <c r="H83" i="1"/>
  <c r="G83" i="1"/>
  <c r="M81" i="1"/>
  <c r="K80" i="1"/>
  <c r="L80" i="1" s="1"/>
  <c r="J80" i="1"/>
  <c r="G80" i="1"/>
  <c r="K79" i="1"/>
  <c r="J79" i="1"/>
  <c r="G79" i="1"/>
  <c r="J78" i="1"/>
  <c r="G78" i="1"/>
  <c r="K78" i="1" s="1"/>
  <c r="L78" i="1" s="1"/>
  <c r="K77" i="1"/>
  <c r="J77" i="1"/>
  <c r="K76" i="1"/>
  <c r="L76" i="1" s="1"/>
  <c r="J76" i="1"/>
  <c r="G76" i="1"/>
  <c r="K75" i="1"/>
  <c r="L75" i="1" s="1"/>
  <c r="J75" i="1"/>
  <c r="G75" i="1"/>
  <c r="K74" i="1"/>
  <c r="L74" i="1" s="1"/>
  <c r="J74" i="1"/>
  <c r="G74" i="1"/>
  <c r="K73" i="1"/>
  <c r="L73" i="1" s="1"/>
  <c r="J73" i="1"/>
  <c r="G73" i="1"/>
  <c r="K72" i="1"/>
  <c r="L72" i="1" s="1"/>
  <c r="J72" i="1"/>
  <c r="G72" i="1"/>
  <c r="O69" i="1"/>
  <c r="P69" i="1" s="1"/>
  <c r="J69" i="1"/>
  <c r="H69" i="1"/>
  <c r="K69" i="1" s="1"/>
  <c r="M69" i="1" s="1"/>
  <c r="G69" i="1"/>
  <c r="O68" i="1"/>
  <c r="P68" i="1" s="1"/>
  <c r="J68" i="1"/>
  <c r="H68" i="1"/>
  <c r="K68" i="1" s="1"/>
  <c r="L68" i="1" s="1"/>
  <c r="G68" i="1"/>
  <c r="O67" i="1"/>
  <c r="P67" i="1" s="1"/>
  <c r="H67" i="1"/>
  <c r="G67" i="1"/>
  <c r="O66" i="1"/>
  <c r="P66" i="1" s="1"/>
  <c r="L66" i="1"/>
  <c r="J66" i="1"/>
  <c r="H66" i="1"/>
  <c r="K66" i="1" s="1"/>
  <c r="M66" i="1" s="1"/>
  <c r="G66" i="1"/>
  <c r="O65" i="1"/>
  <c r="P65" i="1" s="1"/>
  <c r="J65" i="1"/>
  <c r="H65" i="1"/>
  <c r="K65" i="1" s="1"/>
  <c r="G65" i="1"/>
  <c r="O64" i="1"/>
  <c r="P64" i="1" s="1"/>
  <c r="J64" i="1"/>
  <c r="H64" i="1"/>
  <c r="K64" i="1" s="1"/>
  <c r="G64" i="1"/>
  <c r="O61" i="1"/>
  <c r="P61" i="1" s="1"/>
  <c r="J61" i="1"/>
  <c r="K61" i="1" s="1"/>
  <c r="H61" i="1"/>
  <c r="G61" i="1"/>
  <c r="O60" i="1"/>
  <c r="P60" i="1" s="1"/>
  <c r="J60" i="1"/>
  <c r="K60" i="1" s="1"/>
  <c r="H60" i="1"/>
  <c r="G60" i="1"/>
  <c r="O59" i="1"/>
  <c r="P59" i="1" s="1"/>
  <c r="J59" i="1"/>
  <c r="K59" i="1" s="1"/>
  <c r="H59" i="1"/>
  <c r="G59" i="1"/>
  <c r="O58" i="1"/>
  <c r="P58" i="1" s="1"/>
  <c r="J58" i="1"/>
  <c r="K58" i="1" s="1"/>
  <c r="H58" i="1"/>
  <c r="G58" i="1"/>
  <c r="O57" i="1"/>
  <c r="P57" i="1" s="1"/>
  <c r="J57" i="1"/>
  <c r="K57" i="1" s="1"/>
  <c r="H57" i="1"/>
  <c r="G57" i="1"/>
  <c r="O56" i="1"/>
  <c r="P56" i="1" s="1"/>
  <c r="J56" i="1"/>
  <c r="K56" i="1" s="1"/>
  <c r="H56" i="1"/>
  <c r="G56" i="1"/>
  <c r="O55" i="1"/>
  <c r="P55" i="1" s="1"/>
  <c r="J55" i="1"/>
  <c r="K55" i="1" s="1"/>
  <c r="H55" i="1"/>
  <c r="G55" i="1"/>
  <c r="O54" i="1"/>
  <c r="P54" i="1" s="1"/>
  <c r="J54" i="1"/>
  <c r="K54" i="1" s="1"/>
  <c r="G54" i="1"/>
  <c r="P53" i="1"/>
  <c r="O53" i="1"/>
  <c r="K53" i="1"/>
  <c r="L53" i="1" s="1"/>
  <c r="J53" i="1"/>
  <c r="H53" i="1"/>
  <c r="G53" i="1"/>
  <c r="P52" i="1"/>
  <c r="O52" i="1"/>
  <c r="M52" i="1"/>
  <c r="K52" i="1"/>
  <c r="L52" i="1" s="1"/>
  <c r="J52" i="1"/>
  <c r="H52" i="1"/>
  <c r="G52" i="1"/>
  <c r="P51" i="1"/>
  <c r="O51" i="1"/>
  <c r="J51" i="1"/>
  <c r="H51" i="1"/>
  <c r="K51" i="1" s="1"/>
  <c r="G51" i="1"/>
  <c r="P50" i="1"/>
  <c r="O50" i="1"/>
  <c r="J50" i="1"/>
  <c r="H50" i="1"/>
  <c r="K50" i="1" s="1"/>
  <c r="G50" i="1"/>
  <c r="P49" i="1"/>
  <c r="O49" i="1"/>
  <c r="K49" i="1"/>
  <c r="L49" i="1" s="1"/>
  <c r="J49" i="1"/>
  <c r="H49" i="1"/>
  <c r="G49" i="1"/>
  <c r="P48" i="1"/>
  <c r="O48" i="1"/>
  <c r="M48" i="1"/>
  <c r="K48" i="1"/>
  <c r="J48" i="1"/>
  <c r="H48" i="1"/>
  <c r="G48" i="1"/>
  <c r="P45" i="1"/>
  <c r="O45" i="1"/>
  <c r="M45" i="1"/>
  <c r="K45" i="1"/>
  <c r="L45" i="1" s="1"/>
  <c r="J45" i="1"/>
  <c r="H45" i="1"/>
  <c r="G45" i="1"/>
  <c r="I44" i="1"/>
  <c r="O44" i="1" s="1"/>
  <c r="P44" i="1" s="1"/>
  <c r="H44" i="1"/>
  <c r="K44" i="1" s="1"/>
  <c r="G44" i="1"/>
  <c r="M43" i="1"/>
  <c r="K43" i="1"/>
  <c r="J43" i="1"/>
  <c r="I43" i="1"/>
  <c r="O43" i="1" s="1"/>
  <c r="P43" i="1" s="1"/>
  <c r="H43" i="1"/>
  <c r="G43" i="1"/>
  <c r="O42" i="1"/>
  <c r="P42" i="1" s="1"/>
  <c r="J42" i="1"/>
  <c r="I42" i="1"/>
  <c r="H42" i="1"/>
  <c r="K42" i="1" s="1"/>
  <c r="M42" i="1" s="1"/>
  <c r="G42" i="1"/>
  <c r="K41" i="1"/>
  <c r="M41" i="1" s="1"/>
  <c r="J41" i="1"/>
  <c r="I41" i="1"/>
  <c r="O41" i="1" s="1"/>
  <c r="P41" i="1" s="1"/>
  <c r="H41" i="1"/>
  <c r="G41" i="1"/>
  <c r="O40" i="1"/>
  <c r="P40" i="1" s="1"/>
  <c r="J40" i="1"/>
  <c r="I40" i="1"/>
  <c r="H40" i="1"/>
  <c r="G40" i="1"/>
  <c r="P37" i="1"/>
  <c r="O37" i="1"/>
  <c r="M37" i="1"/>
  <c r="K37" i="1"/>
  <c r="L37" i="1" s="1"/>
  <c r="J37" i="1"/>
  <c r="H37" i="1"/>
  <c r="G37" i="1"/>
  <c r="P36" i="1"/>
  <c r="O36" i="1"/>
  <c r="J36" i="1"/>
  <c r="H36" i="1"/>
  <c r="K36" i="1" s="1"/>
  <c r="G36" i="1"/>
  <c r="P35" i="1"/>
  <c r="O35" i="1"/>
  <c r="J35" i="1"/>
  <c r="H35" i="1"/>
  <c r="K35" i="1" s="1"/>
  <c r="G35" i="1"/>
  <c r="P34" i="1"/>
  <c r="O34" i="1"/>
  <c r="K34" i="1"/>
  <c r="L34" i="1" s="1"/>
  <c r="J34" i="1"/>
  <c r="H34" i="1"/>
  <c r="G34" i="1"/>
  <c r="P33" i="1"/>
  <c r="O33" i="1"/>
  <c r="M33" i="1"/>
  <c r="K33" i="1"/>
  <c r="L33" i="1" s="1"/>
  <c r="J33" i="1"/>
  <c r="H33" i="1"/>
  <c r="G33" i="1"/>
  <c r="P32" i="1"/>
  <c r="O32" i="1"/>
  <c r="J32" i="1"/>
  <c r="H32" i="1"/>
  <c r="K32" i="1" s="1"/>
  <c r="G32" i="1"/>
  <c r="P31" i="1"/>
  <c r="O31" i="1"/>
  <c r="J31" i="1"/>
  <c r="H31" i="1"/>
  <c r="K31" i="1" s="1"/>
  <c r="G31" i="1"/>
  <c r="P30" i="1"/>
  <c r="O30" i="1"/>
  <c r="K30" i="1"/>
  <c r="L30" i="1" s="1"/>
  <c r="J30" i="1"/>
  <c r="H30" i="1"/>
  <c r="G30" i="1"/>
  <c r="P29" i="1"/>
  <c r="O29" i="1"/>
  <c r="M29" i="1"/>
  <c r="K29" i="1"/>
  <c r="L29" i="1" s="1"/>
  <c r="J29" i="1"/>
  <c r="H29" i="1"/>
  <c r="G29" i="1"/>
  <c r="P28" i="1"/>
  <c r="O28" i="1"/>
  <c r="J28" i="1"/>
  <c r="H28" i="1"/>
  <c r="P27" i="1"/>
  <c r="O27" i="1"/>
  <c r="M27" i="1"/>
  <c r="K27" i="1"/>
  <c r="L27" i="1" s="1"/>
  <c r="J27" i="1"/>
  <c r="H27" i="1"/>
  <c r="G27" i="1"/>
  <c r="P26" i="1"/>
  <c r="O26" i="1"/>
  <c r="J26" i="1"/>
  <c r="H26" i="1"/>
  <c r="K26" i="1" s="1"/>
  <c r="G26" i="1"/>
  <c r="P25" i="1"/>
  <c r="O25" i="1"/>
  <c r="J25" i="1"/>
  <c r="H25" i="1"/>
  <c r="K25" i="1" s="1"/>
  <c r="G25" i="1"/>
  <c r="P24" i="1"/>
  <c r="O24" i="1"/>
  <c r="K24" i="1"/>
  <c r="L24" i="1" s="1"/>
  <c r="J24" i="1"/>
  <c r="H24" i="1"/>
  <c r="G24" i="1"/>
  <c r="P23" i="1"/>
  <c r="O23" i="1"/>
  <c r="K23" i="1"/>
  <c r="M23" i="1" s="1"/>
  <c r="J23" i="1"/>
  <c r="H23" i="1"/>
  <c r="G23" i="1"/>
  <c r="P22" i="1"/>
  <c r="O22" i="1"/>
  <c r="K22" i="1"/>
  <c r="M22" i="1" s="1"/>
  <c r="J22" i="1"/>
  <c r="H22" i="1"/>
  <c r="G22" i="1"/>
  <c r="P21" i="1"/>
  <c r="O21" i="1"/>
  <c r="K21" i="1"/>
  <c r="M21" i="1" s="1"/>
  <c r="J21" i="1"/>
  <c r="H21" i="1"/>
  <c r="G21" i="1"/>
  <c r="P20" i="1"/>
  <c r="O20" i="1"/>
  <c r="K20" i="1"/>
  <c r="M20" i="1" s="1"/>
  <c r="J20" i="1"/>
  <c r="H20" i="1"/>
  <c r="G20" i="1"/>
  <c r="O17" i="1"/>
  <c r="P17" i="1" s="1"/>
  <c r="K17" i="1"/>
  <c r="L17" i="1" s="1"/>
  <c r="J17" i="1"/>
  <c r="H17" i="1"/>
  <c r="G17" i="1"/>
  <c r="P16" i="1"/>
  <c r="O16" i="1"/>
  <c r="K16" i="1"/>
  <c r="M16" i="1" s="1"/>
  <c r="J16" i="1"/>
  <c r="H16" i="1"/>
  <c r="G16" i="1"/>
  <c r="K15" i="1"/>
  <c r="M15" i="1" s="1"/>
  <c r="J15" i="1"/>
  <c r="I15" i="1"/>
  <c r="O15" i="1" s="1"/>
  <c r="P15" i="1" s="1"/>
  <c r="H15" i="1"/>
  <c r="G15" i="1"/>
  <c r="O14" i="1"/>
  <c r="P14" i="1" s="1"/>
  <c r="J14" i="1"/>
  <c r="I14" i="1"/>
  <c r="H14" i="1"/>
  <c r="K14" i="1" s="1"/>
  <c r="G14" i="1"/>
  <c r="P13" i="1"/>
  <c r="O13" i="1"/>
  <c r="J13" i="1"/>
  <c r="H13" i="1"/>
  <c r="K13" i="1" s="1"/>
  <c r="G13" i="1"/>
  <c r="P12" i="1"/>
  <c r="O12" i="1"/>
  <c r="J12" i="1"/>
  <c r="H12" i="1"/>
  <c r="K12" i="1" s="1"/>
  <c r="G12" i="1"/>
  <c r="P11" i="1"/>
  <c r="O11" i="1"/>
  <c r="J11" i="1"/>
  <c r="H11" i="1"/>
  <c r="K11" i="1" s="1"/>
  <c r="G11" i="1"/>
  <c r="P10" i="1"/>
  <c r="O10" i="1"/>
  <c r="J10" i="1"/>
  <c r="H10" i="1"/>
  <c r="K10" i="1" s="1"/>
  <c r="G10" i="1"/>
  <c r="P9" i="1"/>
  <c r="O9" i="1"/>
  <c r="J9" i="1"/>
  <c r="H9" i="1"/>
  <c r="K9" i="1" s="1"/>
  <c r="G9" i="1"/>
  <c r="P8" i="1"/>
  <c r="O8" i="1"/>
  <c r="J8" i="1"/>
  <c r="H8" i="1"/>
  <c r="K8" i="1" s="1"/>
  <c r="G8" i="1"/>
  <c r="P7" i="1"/>
  <c r="O7" i="1"/>
  <c r="J7" i="1"/>
  <c r="H7" i="1"/>
  <c r="K7" i="1" s="1"/>
  <c r="G7" i="1"/>
  <c r="P6" i="1"/>
  <c r="O6" i="1"/>
  <c r="J6" i="1"/>
  <c r="H6" i="1"/>
  <c r="K6" i="1" s="1"/>
  <c r="G6" i="1"/>
  <c r="J5" i="1"/>
  <c r="I5" i="1"/>
  <c r="K5" i="1" s="1"/>
  <c r="H5" i="1"/>
  <c r="G5" i="1"/>
  <c r="O4" i="1"/>
  <c r="P4" i="1" s="1"/>
  <c r="J4" i="1"/>
  <c r="I4" i="1"/>
  <c r="H4" i="1"/>
  <c r="K4" i="1" s="1"/>
  <c r="G4" i="1"/>
  <c r="A1" i="1"/>
  <c r="L12" i="1" l="1"/>
  <c r="M12" i="1"/>
  <c r="L44" i="1"/>
  <c r="M44" i="1"/>
  <c r="M4" i="1"/>
  <c r="M2" i="1"/>
  <c r="L4" i="1"/>
  <c r="L9" i="1"/>
  <c r="M9" i="1"/>
  <c r="L13" i="1"/>
  <c r="M13" i="1"/>
  <c r="L25" i="1"/>
  <c r="M25" i="1"/>
  <c r="L6" i="1"/>
  <c r="M6" i="1"/>
  <c r="L10" i="1"/>
  <c r="M10" i="1"/>
  <c r="L14" i="1"/>
  <c r="M14" i="1"/>
  <c r="L26" i="1"/>
  <c r="M26" i="1"/>
  <c r="L35" i="1"/>
  <c r="M35" i="1"/>
  <c r="L151" i="1"/>
  <c r="L8" i="1"/>
  <c r="M8" i="1"/>
  <c r="L32" i="1"/>
  <c r="M32" i="1"/>
  <c r="L51" i="1"/>
  <c r="M51" i="1"/>
  <c r="L5" i="1"/>
  <c r="M5" i="1"/>
  <c r="L7" i="1"/>
  <c r="M7" i="1"/>
  <c r="L11" i="1"/>
  <c r="M11" i="1"/>
  <c r="L31" i="1"/>
  <c r="M31" i="1"/>
  <c r="L36" i="1"/>
  <c r="M36" i="1"/>
  <c r="L50" i="1"/>
  <c r="M50" i="1"/>
  <c r="M64" i="1"/>
  <c r="M70" i="1"/>
  <c r="L91" i="1"/>
  <c r="G165" i="1"/>
  <c r="E158" i="1"/>
  <c r="O5" i="1"/>
  <c r="P5" i="1" s="1"/>
  <c r="L15" i="1"/>
  <c r="L16" i="1"/>
  <c r="M17" i="1"/>
  <c r="L20" i="1"/>
  <c r="L21" i="1"/>
  <c r="L22" i="1"/>
  <c r="L23" i="1"/>
  <c r="M24" i="1"/>
  <c r="K28" i="1"/>
  <c r="M28" i="1" s="1"/>
  <c r="M30" i="1"/>
  <c r="M34" i="1"/>
  <c r="L43" i="1"/>
  <c r="M46" i="1"/>
  <c r="L48" i="1"/>
  <c r="M49" i="1"/>
  <c r="M53" i="1"/>
  <c r="M54" i="1"/>
  <c r="L54" i="1"/>
  <c r="M55" i="1"/>
  <c r="L55" i="1"/>
  <c r="M56" i="1"/>
  <c r="L56" i="1"/>
  <c r="M57" i="1"/>
  <c r="L57" i="1"/>
  <c r="M58" i="1"/>
  <c r="L58" i="1"/>
  <c r="M59" i="1"/>
  <c r="L59" i="1"/>
  <c r="M60" i="1"/>
  <c r="L60" i="1"/>
  <c r="M61" i="1"/>
  <c r="L61" i="1"/>
  <c r="M65" i="1"/>
  <c r="M83" i="1"/>
  <c r="L83" i="1"/>
  <c r="L85" i="1"/>
  <c r="M85" i="1"/>
  <c r="L96" i="1"/>
  <c r="G173" i="1"/>
  <c r="L64" i="1"/>
  <c r="L69" i="1"/>
  <c r="L79" i="1"/>
  <c r="L87" i="1"/>
  <c r="G176" i="1"/>
  <c r="M18" i="1"/>
  <c r="L41" i="1"/>
  <c r="K40" i="1"/>
  <c r="L42" i="1"/>
  <c r="L65" i="1"/>
  <c r="M68" i="1"/>
  <c r="L95" i="1"/>
  <c r="E175" i="1"/>
  <c r="G175" i="1" s="1"/>
  <c r="E165" i="1"/>
  <c r="J67" i="1"/>
  <c r="K67" i="1" s="1"/>
  <c r="G167" i="1"/>
  <c r="G177" i="1"/>
  <c r="H117" i="1"/>
  <c r="E166" i="1"/>
  <c r="G166" i="1" s="1"/>
  <c r="E174" i="1"/>
  <c r="G174" i="1" s="1"/>
  <c r="J111" i="1"/>
  <c r="K111" i="1" s="1"/>
  <c r="L111" i="1" s="1"/>
  <c r="J117" i="1"/>
  <c r="J121" i="1"/>
  <c r="K121" i="1" s="1"/>
  <c r="L121" i="1" s="1"/>
  <c r="J150" i="1"/>
  <c r="K150" i="1" s="1"/>
  <c r="M150" i="1" s="1"/>
  <c r="E169" i="1"/>
  <c r="G169" i="1" s="1"/>
  <c r="E173" i="1"/>
  <c r="E177" i="1"/>
  <c r="L150" i="1" l="1"/>
  <c r="K160" i="1"/>
  <c r="E160" i="1" s="1"/>
  <c r="M67" i="1"/>
  <c r="L67" i="1"/>
  <c r="M62" i="1"/>
  <c r="M40" i="1"/>
  <c r="M38" i="1"/>
  <c r="L40" i="1"/>
  <c r="K117" i="1"/>
  <c r="L117" i="1" s="1"/>
  <c r="P159" i="1" l="1"/>
  <c r="M86" i="1"/>
  <c r="K158" i="1"/>
  <c r="K159" i="1" s="1"/>
  <c r="P158" i="1" l="1"/>
  <c r="P160" i="1"/>
  <c r="K161" i="1" l="1"/>
  <c r="E161" i="1" s="1"/>
  <c r="P81" i="1" s="1"/>
  <c r="P46" i="1"/>
  <c r="P70" i="1"/>
  <c r="P2" i="1"/>
  <c r="P18" i="1"/>
  <c r="P62" i="1"/>
  <c r="P38" i="1"/>
  <c r="P86" i="1"/>
  <c r="P161" i="1" l="1"/>
</calcChain>
</file>

<file path=xl/sharedStrings.xml><?xml version="1.0" encoding="utf-8"?>
<sst xmlns="http://schemas.openxmlformats.org/spreadsheetml/2006/main" count="552" uniqueCount="361">
  <si>
    <t>Big/ Mid Tier Precious Metals Miners, Physical Metals &amp; Royalty's (10-15 open postions)</t>
  </si>
  <si>
    <t>Allocation</t>
  </si>
  <si>
    <t>Investment</t>
  </si>
  <si>
    <t>Ticker</t>
  </si>
  <si>
    <t>Buy date</t>
  </si>
  <si>
    <t>Shares</t>
  </si>
  <si>
    <t>exch. rate buy</t>
  </si>
  <si>
    <t>Buy price</t>
  </si>
  <si>
    <t>Euro spent</t>
  </si>
  <si>
    <t>Price now</t>
  </si>
  <si>
    <t>Dividends</t>
  </si>
  <si>
    <t>exch. Rate now</t>
  </si>
  <si>
    <t>Euro now</t>
  </si>
  <si>
    <t>Return%</t>
  </si>
  <si>
    <t>Return€</t>
  </si>
  <si>
    <t>high</t>
  </si>
  <si>
    <t>Stop</t>
  </si>
  <si>
    <t>S.S.I.</t>
  </si>
  <si>
    <t>1. Sandstorm Gold ltd</t>
  </si>
  <si>
    <t>SAND</t>
  </si>
  <si>
    <t>2. Wheathon Precious Metals</t>
  </si>
  <si>
    <t>WPM</t>
  </si>
  <si>
    <t xml:space="preserve">4.VOX Royalty Corp </t>
  </si>
  <si>
    <t>VOX</t>
  </si>
  <si>
    <t>5. Silvercrest Metals Inc</t>
  </si>
  <si>
    <t>SILV</t>
  </si>
  <si>
    <t>6. Sprott Physical Silver Trust</t>
  </si>
  <si>
    <t>PSLV</t>
  </si>
  <si>
    <t>7. Sprott Physical Platina &amp; Pal Trust</t>
  </si>
  <si>
    <t>SPPP</t>
  </si>
  <si>
    <t>8. Empress Royalty Corp</t>
  </si>
  <si>
    <t>EMPR</t>
  </si>
  <si>
    <t>9. Gold Royalty Corp (+ ELY)</t>
  </si>
  <si>
    <t>GROY</t>
  </si>
  <si>
    <t>10. Metalla Royalty Corp</t>
  </si>
  <si>
    <t>MTA</t>
  </si>
  <si>
    <t>11. Endeavour Silver Corp</t>
  </si>
  <si>
    <t>EXK</t>
  </si>
  <si>
    <t>12. Sailfish Royalties Corp</t>
  </si>
  <si>
    <t>FISH</t>
  </si>
  <si>
    <t>13. Sibayne Stillwater Ltd</t>
  </si>
  <si>
    <t>SBSW</t>
  </si>
  <si>
    <t>13a. Sibayne Stillwater Ltd</t>
  </si>
  <si>
    <t>14. First Majestic Silver</t>
  </si>
  <si>
    <t>AG</t>
  </si>
  <si>
    <t>Golden eggs Basket (15-20 open positions)</t>
  </si>
  <si>
    <t xml:space="preserve">1.Tudor Gold Corp </t>
  </si>
  <si>
    <t>TUD^</t>
  </si>
  <si>
    <t>7.Silver Viper Minerals</t>
  </si>
  <si>
    <t>VIPR</t>
  </si>
  <si>
    <t>11. KORE Mining Ltd</t>
  </si>
  <si>
    <t>KORE</t>
  </si>
  <si>
    <t>12. Fortune Bay Corp</t>
  </si>
  <si>
    <t>FOR</t>
  </si>
  <si>
    <t>15. Reyna Silver Corp</t>
  </si>
  <si>
    <t>RSLV</t>
  </si>
  <si>
    <t>18. Ascot Resources</t>
  </si>
  <si>
    <t>AOT^</t>
  </si>
  <si>
    <t>20. Silver One Resources Inc</t>
  </si>
  <si>
    <t>SVE</t>
  </si>
  <si>
    <t>21. First Mining Gold Corp</t>
  </si>
  <si>
    <t>FF</t>
  </si>
  <si>
    <t>21 a. Treasure Metals Inc</t>
  </si>
  <si>
    <t>TML</t>
  </si>
  <si>
    <t>SPIN OUT</t>
  </si>
  <si>
    <t>22. NuLegacy Gold</t>
  </si>
  <si>
    <t>NUG</t>
  </si>
  <si>
    <t>23. Novo Resources</t>
  </si>
  <si>
    <t>NVO</t>
  </si>
  <si>
    <t>24. Firefox Gold Corp</t>
  </si>
  <si>
    <t>FFOX</t>
  </si>
  <si>
    <t xml:space="preserve">25. Blackrock Silver </t>
  </si>
  <si>
    <t>BRC</t>
  </si>
  <si>
    <t>26. Lion One Metals</t>
  </si>
  <si>
    <t>LIO</t>
  </si>
  <si>
    <t>27. Kuya Silver Corp</t>
  </si>
  <si>
    <t>KUYAF</t>
  </si>
  <si>
    <t>28. Eskay Mining</t>
  </si>
  <si>
    <t>ESK</t>
  </si>
  <si>
    <t>29. Cabral Gold</t>
  </si>
  <si>
    <t>CBR</t>
  </si>
  <si>
    <t>30. Discovery Silver Corp</t>
  </si>
  <si>
    <t>DSV</t>
  </si>
  <si>
    <t>Boring Dividend Income (10-15 open positions)</t>
  </si>
  <si>
    <t>Gamco Global G&amp;Nat res</t>
  </si>
  <si>
    <t>GGN</t>
  </si>
  <si>
    <t>Gamco Nat res, Gold &amp; inc trust</t>
  </si>
  <si>
    <t>GNT</t>
  </si>
  <si>
    <t>Altria</t>
  </si>
  <si>
    <t>MO</t>
  </si>
  <si>
    <t>Reaves Utility Income Fund</t>
  </si>
  <si>
    <t>UTG</t>
  </si>
  <si>
    <t>Royal Dutch Shell</t>
  </si>
  <si>
    <t>RDSA</t>
  </si>
  <si>
    <t>Icahn Enterprises LP</t>
  </si>
  <si>
    <t>IEP</t>
  </si>
  <si>
    <t>Uranium (10-15 open positions)</t>
  </si>
  <si>
    <t>10. Encore Energy Corp</t>
  </si>
  <si>
    <t>EU</t>
  </si>
  <si>
    <t>15. UEX Corporation</t>
  </si>
  <si>
    <t>UEX</t>
  </si>
  <si>
    <t>16. Fission Uranium Corp</t>
  </si>
  <si>
    <t>FCU</t>
  </si>
  <si>
    <t>17. Virginia Energy Resources</t>
  </si>
  <si>
    <t>VUI</t>
  </si>
  <si>
    <t>18. Deep Yellow Ltd</t>
  </si>
  <si>
    <t>DYL</t>
  </si>
  <si>
    <t>19. Consolidated Uranium</t>
  </si>
  <si>
    <t>CUR</t>
  </si>
  <si>
    <t>19a. Labrador Uranium Inc</t>
  </si>
  <si>
    <t>LUR</t>
  </si>
  <si>
    <t>20. Mega Uranium Ltd</t>
  </si>
  <si>
    <t>MGA</t>
  </si>
  <si>
    <t>21. Western Uranium &amp; Vanadium</t>
  </si>
  <si>
    <t>WSTRF</t>
  </si>
  <si>
    <t>22. GoviEx Uranium Ltd</t>
  </si>
  <si>
    <t>GXU</t>
  </si>
  <si>
    <t>23. Laramide Resources Ltd</t>
  </si>
  <si>
    <t>LAM</t>
  </si>
  <si>
    <t>8b. Energy Fuels</t>
  </si>
  <si>
    <t>UUUU</t>
  </si>
  <si>
    <t>3b. Uranium Royalty Corp</t>
  </si>
  <si>
    <t>URC</t>
  </si>
  <si>
    <t>5b. Uranium Energy Corp</t>
  </si>
  <si>
    <t>UEC</t>
  </si>
  <si>
    <t>EV-metals &amp; Base Metals (5-10 open positions)</t>
  </si>
  <si>
    <t>6. Nova Royalty Corp</t>
  </si>
  <si>
    <t>NOVR</t>
  </si>
  <si>
    <t>7. Electric Royalties Ltd</t>
  </si>
  <si>
    <t>ELEC</t>
  </si>
  <si>
    <t>9. Brixton Metals</t>
  </si>
  <si>
    <t>BBB</t>
  </si>
  <si>
    <t>10. Atalaya Mining</t>
  </si>
  <si>
    <t>ATYM</t>
  </si>
  <si>
    <t>11. Trilogy Metals</t>
  </si>
  <si>
    <t>TMQ</t>
  </si>
  <si>
    <t>12. Vale</t>
  </si>
  <si>
    <t>VALE</t>
  </si>
  <si>
    <t>Opties</t>
  </si>
  <si>
    <t>Put/Call/Warrant</t>
  </si>
  <si>
    <t>profit</t>
  </si>
  <si>
    <t>O/C</t>
  </si>
  <si>
    <t>geschreven Put 2022jan $10</t>
  </si>
  <si>
    <t>closed</t>
  </si>
  <si>
    <t>geschreven Put 2023jan $7</t>
  </si>
  <si>
    <t>geschreven Put 2023jan $5</t>
  </si>
  <si>
    <t>geschreven Put 2022feb $10</t>
  </si>
  <si>
    <t xml:space="preserve">Call 2021dec  $20 </t>
  </si>
  <si>
    <t>VIX</t>
  </si>
  <si>
    <t>warrant: 07aug2023 1,5 call</t>
  </si>
  <si>
    <t>warrant:15sep2025 11,5  call</t>
  </si>
  <si>
    <t>EVGOW</t>
  </si>
  <si>
    <t>FGS</t>
  </si>
  <si>
    <t>warrant:06may2026 11,5  call</t>
  </si>
  <si>
    <t>LEVW</t>
  </si>
  <si>
    <t>NVVEW</t>
  </si>
  <si>
    <t>Crypto's box, max 10-15 open  positions</t>
  </si>
  <si>
    <t>32. Crypto.com (+converts 26-02)</t>
  </si>
  <si>
    <t>CRO</t>
  </si>
  <si>
    <t xml:space="preserve">32a. Crypto.com </t>
  </si>
  <si>
    <t xml:space="preserve">33. Polygon </t>
  </si>
  <si>
    <t>MATIC</t>
  </si>
  <si>
    <t>Free Growth Stocks (FGS) &amp; Free stocks (FS)</t>
  </si>
  <si>
    <t>3. Bitcoin</t>
  </si>
  <si>
    <t>BTC</t>
  </si>
  <si>
    <t>crypto</t>
  </si>
  <si>
    <t>6. First Majestic Silver</t>
  </si>
  <si>
    <t>precious</t>
  </si>
  <si>
    <t>8. Franco Nevada</t>
  </si>
  <si>
    <t>FNV</t>
  </si>
  <si>
    <t>9. Sandstorm Gold</t>
  </si>
  <si>
    <t>10. Metella Royalty &amp; Streaming Ltd</t>
  </si>
  <si>
    <t>11. Ethereum</t>
  </si>
  <si>
    <t>ETH</t>
  </si>
  <si>
    <t>12.Coeur Mining Inc</t>
  </si>
  <si>
    <t>CDE</t>
  </si>
  <si>
    <t>15. Defiance Silver Corp</t>
  </si>
  <si>
    <t>DEF</t>
  </si>
  <si>
    <t>basket</t>
  </si>
  <si>
    <t>19. First Majestic Silver</t>
  </si>
  <si>
    <t>Precious</t>
  </si>
  <si>
    <t>22. Cosmos</t>
  </si>
  <si>
    <t>ATOM</t>
  </si>
  <si>
    <t>box</t>
  </si>
  <si>
    <t>23. Nexgen Energy</t>
  </si>
  <si>
    <t>NXE^</t>
  </si>
  <si>
    <t xml:space="preserve">bullet </t>
  </si>
  <si>
    <t>24. Uranium Royalty Corp</t>
  </si>
  <si>
    <t>URC^</t>
  </si>
  <si>
    <t>24a. Uranium Royalty Corp</t>
  </si>
  <si>
    <t>2a</t>
  </si>
  <si>
    <t>26. Ur-Energy Inc</t>
  </si>
  <si>
    <t>URG</t>
  </si>
  <si>
    <t>26a Ur-Energy Inc</t>
  </si>
  <si>
    <t>3a</t>
  </si>
  <si>
    <t>27. Ivanhoe Mines</t>
  </si>
  <si>
    <t>IVN</t>
  </si>
  <si>
    <t>battery</t>
  </si>
  <si>
    <t>28. Uranium Energy Corp</t>
  </si>
  <si>
    <t>28a. Uranium Energy Corp</t>
  </si>
  <si>
    <t>4a</t>
  </si>
  <si>
    <t>32. Atico Mining Corp</t>
  </si>
  <si>
    <t>ATY^</t>
  </si>
  <si>
    <t>33. Cardano</t>
  </si>
  <si>
    <t>ADA</t>
  </si>
  <si>
    <t>34. Paladin Energy Ltd</t>
  </si>
  <si>
    <t>PDN</t>
  </si>
  <si>
    <t>35. IsoEnergy Ltd</t>
  </si>
  <si>
    <t>ISO^</t>
  </si>
  <si>
    <t>36. Peninsula Energy Inc</t>
  </si>
  <si>
    <t>PEN</t>
  </si>
  <si>
    <t>37. Bannerman Resources ltd</t>
  </si>
  <si>
    <t>BMN</t>
  </si>
  <si>
    <t>38. Anfield Energy Inc</t>
  </si>
  <si>
    <t>AEC</t>
  </si>
  <si>
    <t>39. Tezos</t>
  </si>
  <si>
    <t>XTZ</t>
  </si>
  <si>
    <t>40. Vizsla Silver Corp</t>
  </si>
  <si>
    <t>VZLA</t>
  </si>
  <si>
    <t>41. Decentraland</t>
  </si>
  <si>
    <t>MANA</t>
  </si>
  <si>
    <t>42. Global Atomic</t>
  </si>
  <si>
    <t>GLO</t>
  </si>
  <si>
    <t>43. Energy Fuels</t>
  </si>
  <si>
    <t>43a. Energy Fuels</t>
  </si>
  <si>
    <t>11a</t>
  </si>
  <si>
    <t>44. Denison Mines Corp</t>
  </si>
  <si>
    <t>DNN</t>
  </si>
  <si>
    <t>44a. Denison Mines Corp</t>
  </si>
  <si>
    <t>12a</t>
  </si>
  <si>
    <t>45. Boss Energy Ltd</t>
  </si>
  <si>
    <t>BOE</t>
  </si>
  <si>
    <t>46. Karora Resources</t>
  </si>
  <si>
    <t>KRR</t>
  </si>
  <si>
    <t>Closed positions</t>
  </si>
  <si>
    <t>Results</t>
  </si>
  <si>
    <t>ticker</t>
  </si>
  <si>
    <t>date</t>
  </si>
  <si>
    <t>Resultaat 2018-20</t>
  </si>
  <si>
    <t>Resultaat 2021</t>
  </si>
  <si>
    <t>Resultaat Q1 2022</t>
  </si>
  <si>
    <t>11. Band Protocol</t>
  </si>
  <si>
    <t>BAND</t>
  </si>
  <si>
    <t>14. Uniswap</t>
  </si>
  <si>
    <t>UNI</t>
  </si>
  <si>
    <t>23. Solana</t>
  </si>
  <si>
    <t>SOL</t>
  </si>
  <si>
    <t>24. Maker</t>
  </si>
  <si>
    <t>MKR</t>
  </si>
  <si>
    <t>25. Amp</t>
  </si>
  <si>
    <t>AMP</t>
  </si>
  <si>
    <t>26. Polygon</t>
  </si>
  <si>
    <t>27. Quand</t>
  </si>
  <si>
    <t>QND</t>
  </si>
  <si>
    <t>28. NuCypher</t>
  </si>
  <si>
    <t>NU</t>
  </si>
  <si>
    <t>29. Loopring</t>
  </si>
  <si>
    <t>LRC</t>
  </si>
  <si>
    <t>30. Chilliz</t>
  </si>
  <si>
    <t>CHZ</t>
  </si>
  <si>
    <t>31. Polkadot</t>
  </si>
  <si>
    <t>DOT</t>
  </si>
  <si>
    <t>17. Stellar Lumens</t>
  </si>
  <si>
    <t>XLM</t>
  </si>
  <si>
    <t>13. The Graph</t>
  </si>
  <si>
    <t>GRT</t>
  </si>
  <si>
    <t>20. Compound</t>
  </si>
  <si>
    <t>COMP</t>
  </si>
  <si>
    <t>21. Chainlink</t>
  </si>
  <si>
    <t>LINK</t>
  </si>
  <si>
    <t>29. Filecoin</t>
  </si>
  <si>
    <t>FIL</t>
  </si>
  <si>
    <t>30. Litecoin</t>
  </si>
  <si>
    <t>LTV</t>
  </si>
  <si>
    <t>31. Bitcoin Cash</t>
  </si>
  <si>
    <t>BCH</t>
  </si>
  <si>
    <t>Short positions</t>
  </si>
  <si>
    <t>Sell date</t>
  </si>
  <si>
    <t>exch. rate sell</t>
  </si>
  <si>
    <t>Sell price</t>
  </si>
  <si>
    <t xml:space="preserve">Euro </t>
  </si>
  <si>
    <t>Amazon.com Inc</t>
  </si>
  <si>
    <t>AMZN</t>
  </si>
  <si>
    <t xml:space="preserve"> closed </t>
  </si>
  <si>
    <t>Tesla</t>
  </si>
  <si>
    <t>TSLA</t>
  </si>
  <si>
    <t>Currency rates</t>
  </si>
  <si>
    <t>Amerikaanse dollar</t>
  </si>
  <si>
    <t>$</t>
  </si>
  <si>
    <t>Canadese dollar</t>
  </si>
  <si>
    <t>CAD</t>
  </si>
  <si>
    <t>Australische dollar</t>
  </si>
  <si>
    <t>AUD</t>
  </si>
  <si>
    <t>Engelse pond</t>
  </si>
  <si>
    <t>£</t>
  </si>
  <si>
    <t>Total Finance</t>
  </si>
  <si>
    <t>CASH SPENT ON STOCKS</t>
  </si>
  <si>
    <t>PROFIT GENERATED/LOST ON STOCKS</t>
  </si>
  <si>
    <t>Capital now</t>
  </si>
  <si>
    <t>STARTCAPITAL 2020</t>
  </si>
  <si>
    <t>PROFIT/LOSS STOCKS IN PORTFOLIO</t>
  </si>
  <si>
    <t>CASH Allocation</t>
  </si>
  <si>
    <t>STARTCAPITAL 2020 + PROFIT STOCKS SOLD</t>
  </si>
  <si>
    <t>PROFIT/LOSS STOCKS SOLD</t>
  </si>
  <si>
    <t>CASH%</t>
  </si>
  <si>
    <t>STARTCAPITAL 2020 + PROFIT STOCKS SOLD+PROFIT PORTFOLIO</t>
  </si>
  <si>
    <t>TOTAL RENDEMENT 2018-21</t>
  </si>
  <si>
    <t>CHECK</t>
  </si>
  <si>
    <t>Watchlist</t>
  </si>
  <si>
    <t>Investment proposal</t>
  </si>
  <si>
    <t>Focus</t>
  </si>
  <si>
    <t>Rec. Exch rate</t>
  </si>
  <si>
    <t>Rec. Price</t>
  </si>
  <si>
    <t>Euro</t>
  </si>
  <si>
    <t>Target</t>
  </si>
  <si>
    <t>Beurs</t>
  </si>
  <si>
    <t>Buy or Sell</t>
  </si>
  <si>
    <t>Remarks &amp; Reason</t>
  </si>
  <si>
    <t>MPLX LP</t>
  </si>
  <si>
    <t>MPLX</t>
  </si>
  <si>
    <t>NYSE</t>
  </si>
  <si>
    <t>Buy</t>
  </si>
  <si>
    <t>Buy on a dip in oil, be patient/ Big dividends 9%</t>
  </si>
  <si>
    <t>British Tabacco Ltd</t>
  </si>
  <si>
    <t>BATS</t>
  </si>
  <si>
    <t>LSE</t>
  </si>
  <si>
    <t>Buy on a dip on overall market be patient/ Big dividends</t>
  </si>
  <si>
    <t>B2Gold Corporation</t>
  </si>
  <si>
    <t>BTG</t>
  </si>
  <si>
    <t>Buy on dip in gold/ gold dividend stock</t>
  </si>
  <si>
    <t>Newmont Corporation</t>
  </si>
  <si>
    <t>NEM</t>
  </si>
  <si>
    <t>BHP group</t>
  </si>
  <si>
    <t>BBL</t>
  </si>
  <si>
    <t>Buy on dip in stock on 200 day SMA of 5 year trend/ 10% dividend stock</t>
  </si>
  <si>
    <t xml:space="preserve">Rio Tinto </t>
  </si>
  <si>
    <t>RIO</t>
  </si>
  <si>
    <t>Buy on dip in stock on 200 day SMA/ 14% dividend stock</t>
  </si>
  <si>
    <t>Fortescue Metals</t>
  </si>
  <si>
    <t>FMG</t>
  </si>
  <si>
    <t>ASX</t>
  </si>
  <si>
    <t>Buy on dip in stock on 200 day SMA/ 23% dividend stock</t>
  </si>
  <si>
    <t>Snowline Gold Corp</t>
  </si>
  <si>
    <t>SGD</t>
  </si>
  <si>
    <t>*</t>
  </si>
  <si>
    <t>TSX</t>
  </si>
  <si>
    <t>Buy on recent dip in Gold</t>
  </si>
  <si>
    <t>Star Royalties Ltd</t>
  </si>
  <si>
    <t>STRR</t>
  </si>
  <si>
    <t>BUY</t>
  </si>
  <si>
    <t>Neo Metals</t>
  </si>
  <si>
    <t>NMT</t>
  </si>
  <si>
    <t xml:space="preserve">Buy on dip </t>
  </si>
  <si>
    <t>Largo resources</t>
  </si>
  <si>
    <t>LGO</t>
  </si>
  <si>
    <t>Bushveld Minerals</t>
  </si>
  <si>
    <t>Cassiar Gold</t>
  </si>
  <si>
    <t>GLDC</t>
  </si>
  <si>
    <t>Silver Hammer</t>
  </si>
  <si>
    <t>HAMRF</t>
  </si>
  <si>
    <t>OTC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</si>
</sst>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[$-F800]dddd\,\ mmmm\ dd\,\ yyyy"/>
    <numFmt numFmtId="165" formatCode="_([$€-2]\ * #,##0_);_([$€-2]\ * \(#,##0\);_([$€-2]\ * &quot;-&quot;??_);_(@_)"/>
    <numFmt numFmtId="166" formatCode="0.0%"/>
    <numFmt numFmtId="167" formatCode="0.0000"/>
    <numFmt numFmtId="168" formatCode="_(* #,##0.000_);_(* \(#,##0.000\);_(* &quot;-&quot;??_);_(@_)"/>
    <numFmt numFmtId="169" formatCode="0.000"/>
    <numFmt numFmtId="170" formatCode="_(* #,##0_);_(* \(#,##0\);_(* &quot;-&quot;??_);_(@_)"/>
    <numFmt numFmtId="171" formatCode="_([$€-2]\ * #,##0.00_);_([$€-2]\ * \(#,##0.00\);_([$€-2]\ * &quot;-&quot;??_);_(@_)"/>
    <numFmt numFmtId="172" formatCode="_(* #,##0.0000_);_(* \(#,##0.0000\);_(* &quot;-&quot;??_);_(@_)"/>
    <numFmt numFmtId="173" formatCode="_(&quot;€&quot;\ * #,##0_);_(&quot;€&quot;\ * \(#,##0\);_(&quot;€&quot;\ * &quot;-&quot;??_);_(@_)"/>
    <numFmt numFmtId="174" formatCode="_ [$€-413]\ * #,##0_ ;_ [$€-413]\ * \-#,##0_ ;_ [$€-413]\ * &quot;-&quot;??_ ;_ @_ 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5">
    <xf numFmtId="0" fontId="0" fillId="0" borderId="0" xfId="0"/>
    <xf numFmtId="164" fontId="2" fillId="2" borderId="1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165" fontId="4" fillId="3" borderId="2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6" fontId="3" fillId="3" borderId="1" xfId="3" applyNumberFormat="1" applyFont="1" applyFill="1" applyBorder="1"/>
    <xf numFmtId="165" fontId="3" fillId="3" borderId="2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9" fontId="3" fillId="3" borderId="1" xfId="3" applyFont="1" applyFill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/>
    <xf numFmtId="0" fontId="5" fillId="0" borderId="1" xfId="0" applyFont="1" applyBorder="1"/>
    <xf numFmtId="0" fontId="3" fillId="4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14" fontId="4" fillId="0" borderId="1" xfId="0" applyNumberFormat="1" applyFont="1" applyBorder="1"/>
    <xf numFmtId="167" fontId="4" fillId="0" borderId="1" xfId="0" applyNumberFormat="1" applyFont="1" applyBorder="1"/>
    <xf numFmtId="43" fontId="4" fillId="0" borderId="1" xfId="1" applyFont="1" applyBorder="1"/>
    <xf numFmtId="165" fontId="4" fillId="0" borderId="1" xfId="0" applyNumberFormat="1" applyFont="1" applyBorder="1"/>
    <xf numFmtId="2" fontId="6" fillId="4" borderId="5" xfId="0" applyNumberFormat="1" applyFont="1" applyFill="1" applyBorder="1"/>
    <xf numFmtId="2" fontId="4" fillId="0" borderId="1" xfId="0" applyNumberFormat="1" applyFont="1" applyBorder="1"/>
    <xf numFmtId="166" fontId="7" fillId="0" borderId="1" xfId="3" applyNumberFormat="1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left"/>
    </xf>
    <xf numFmtId="43" fontId="7" fillId="0" borderId="1" xfId="0" applyNumberFormat="1" applyFont="1" applyBorder="1" applyAlignment="1">
      <alignment horizontal="center"/>
    </xf>
    <xf numFmtId="43" fontId="8" fillId="0" borderId="1" xfId="0" applyNumberFormat="1" applyFont="1" applyBorder="1" applyAlignment="1">
      <alignment horizontal="center"/>
    </xf>
    <xf numFmtId="166" fontId="8" fillId="0" borderId="1" xfId="3" applyNumberFormat="1" applyFont="1" applyBorder="1"/>
    <xf numFmtId="0" fontId="4" fillId="5" borderId="1" xfId="0" applyFont="1" applyFill="1" applyBorder="1"/>
    <xf numFmtId="2" fontId="6" fillId="4" borderId="1" xfId="0" applyNumberFormat="1" applyFont="1" applyFill="1" applyBorder="1"/>
    <xf numFmtId="0" fontId="4" fillId="6" borderId="1" xfId="0" applyFont="1" applyFill="1" applyBorder="1"/>
    <xf numFmtId="0" fontId="4" fillId="7" borderId="1" xfId="0" applyFont="1" applyFill="1" applyBorder="1"/>
    <xf numFmtId="1" fontId="4" fillId="0" borderId="1" xfId="0" applyNumberFormat="1" applyFont="1" applyBorder="1"/>
    <xf numFmtId="0" fontId="7" fillId="0" borderId="1" xfId="3" applyNumberFormat="1" applyFont="1" applyBorder="1"/>
    <xf numFmtId="168" fontId="4" fillId="0" borderId="1" xfId="1" applyNumberFormat="1" applyFont="1" applyBorder="1"/>
    <xf numFmtId="169" fontId="6" fillId="4" borderId="1" xfId="0" applyNumberFormat="1" applyFont="1" applyFill="1" applyBorder="1"/>
    <xf numFmtId="2" fontId="4" fillId="4" borderId="1" xfId="0" applyNumberFormat="1" applyFont="1" applyFill="1" applyBorder="1"/>
    <xf numFmtId="0" fontId="4" fillId="0" borderId="1" xfId="0" applyFont="1" applyBorder="1" applyAlignment="1">
      <alignment horizontal="right"/>
    </xf>
    <xf numFmtId="1" fontId="3" fillId="3" borderId="2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43" fontId="4" fillId="4" borderId="1" xfId="1" applyFont="1" applyFill="1" applyBorder="1" applyAlignment="1">
      <alignment horizontal="right"/>
    </xf>
    <xf numFmtId="166" fontId="7" fillId="0" borderId="1" xfId="3" applyNumberFormat="1" applyFont="1" applyFill="1" applyBorder="1"/>
    <xf numFmtId="0" fontId="4" fillId="0" borderId="2" xfId="0" applyFont="1" applyBorder="1"/>
    <xf numFmtId="0" fontId="4" fillId="0" borderId="3" xfId="0" applyFont="1" applyBorder="1"/>
    <xf numFmtId="14" fontId="4" fillId="0" borderId="3" xfId="0" applyNumberFormat="1" applyFont="1" applyBorder="1"/>
    <xf numFmtId="43" fontId="4" fillId="0" borderId="4" xfId="1" applyFont="1" applyBorder="1"/>
    <xf numFmtId="165" fontId="4" fillId="0" borderId="2" xfId="0" applyNumberFormat="1" applyFont="1" applyBorder="1"/>
    <xf numFmtId="43" fontId="4" fillId="4" borderId="3" xfId="1" applyFont="1" applyFill="1" applyBorder="1" applyAlignment="1">
      <alignment horizontal="right"/>
    </xf>
    <xf numFmtId="2" fontId="4" fillId="4" borderId="1" xfId="0" applyNumberFormat="1" applyFont="1" applyFill="1" applyBorder="1" applyAlignment="1">
      <alignment horizontal="right"/>
    </xf>
    <xf numFmtId="1" fontId="4" fillId="4" borderId="1" xfId="0" applyNumberFormat="1" applyFont="1" applyFill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70" fontId="4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6" fillId="4" borderId="1" xfId="0" applyNumberFormat="1" applyFont="1" applyFill="1" applyBorder="1"/>
    <xf numFmtId="0" fontId="4" fillId="0" borderId="4" xfId="0" applyFont="1" applyBorder="1" applyAlignment="1">
      <alignment horizontal="right"/>
    </xf>
    <xf numFmtId="0" fontId="4" fillId="6" borderId="1" xfId="0" applyFont="1" applyFill="1" applyBorder="1" applyAlignment="1">
      <alignment horizontal="right"/>
    </xf>
    <xf numFmtId="2" fontId="4" fillId="3" borderId="2" xfId="0" applyNumberFormat="1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2" fontId="4" fillId="8" borderId="1" xfId="0" applyNumberFormat="1" applyFont="1" applyFill="1" applyBorder="1" applyAlignment="1">
      <alignment horizontal="right"/>
    </xf>
    <xf numFmtId="167" fontId="4" fillId="9" borderId="1" xfId="0" applyNumberFormat="1" applyFont="1" applyFill="1" applyBorder="1"/>
    <xf numFmtId="0" fontId="4" fillId="9" borderId="1" xfId="0" applyFont="1" applyFill="1" applyBorder="1"/>
    <xf numFmtId="171" fontId="9" fillId="0" borderId="1" xfId="0" applyNumberFormat="1" applyFont="1" applyBorder="1" applyAlignment="1">
      <alignment horizontal="center"/>
    </xf>
    <xf numFmtId="9" fontId="9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6" fillId="0" borderId="1" xfId="0" applyFont="1" applyBorder="1"/>
    <xf numFmtId="14" fontId="6" fillId="0" borderId="1" xfId="0" applyNumberFormat="1" applyFont="1" applyBorder="1"/>
    <xf numFmtId="43" fontId="6" fillId="0" borderId="1" xfId="0" applyNumberFormat="1" applyFont="1" applyBorder="1"/>
    <xf numFmtId="43" fontId="4" fillId="0" borderId="1" xfId="0" applyNumberFormat="1" applyFont="1" applyBorder="1" applyAlignment="1">
      <alignment horizontal="left" vertical="center"/>
    </xf>
    <xf numFmtId="170" fontId="4" fillId="0" borderId="1" xfId="0" applyNumberFormat="1" applyFont="1" applyBorder="1"/>
    <xf numFmtId="172" fontId="4" fillId="0" borderId="1" xfId="0" applyNumberFormat="1" applyFont="1" applyBorder="1"/>
    <xf numFmtId="43" fontId="4" fillId="0" borderId="1" xfId="0" applyNumberFormat="1" applyFont="1" applyBorder="1"/>
    <xf numFmtId="165" fontId="4" fillId="0" borderId="1" xfId="2" applyNumberFormat="1" applyFont="1" applyBorder="1"/>
    <xf numFmtId="173" fontId="4" fillId="0" borderId="1" xfId="2" applyNumberFormat="1" applyFont="1" applyBorder="1"/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169" fontId="4" fillId="0" borderId="1" xfId="0" applyNumberFormat="1" applyFont="1" applyBorder="1"/>
    <xf numFmtId="43" fontId="10" fillId="0" borderId="1" xfId="0" applyNumberFormat="1" applyFont="1" applyBorder="1" applyAlignment="1">
      <alignment horizontal="center"/>
    </xf>
    <xf numFmtId="43" fontId="4" fillId="0" borderId="1" xfId="1" applyFont="1" applyFill="1" applyBorder="1"/>
    <xf numFmtId="43" fontId="4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0" borderId="6" xfId="0" applyFont="1" applyBorder="1"/>
    <xf numFmtId="167" fontId="3" fillId="0" borderId="1" xfId="0" applyNumberFormat="1" applyFont="1" applyBorder="1"/>
    <xf numFmtId="43" fontId="3" fillId="0" borderId="1" xfId="1" applyFont="1" applyBorder="1"/>
    <xf numFmtId="165" fontId="3" fillId="0" borderId="1" xfId="0" applyNumberFormat="1" applyFont="1" applyBorder="1"/>
    <xf numFmtId="2" fontId="11" fillId="0" borderId="5" xfId="0" applyNumberFormat="1" applyFont="1" applyBorder="1"/>
    <xf numFmtId="166" fontId="4" fillId="0" borderId="1" xfId="3" applyNumberFormat="1" applyFont="1" applyBorder="1"/>
    <xf numFmtId="2" fontId="6" fillId="0" borderId="1" xfId="0" applyNumberFormat="1" applyFont="1" applyBorder="1"/>
    <xf numFmtId="167" fontId="4" fillId="0" borderId="1" xfId="0" applyNumberFormat="1" applyFont="1" applyBorder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167" fontId="4" fillId="4" borderId="1" xfId="0" applyNumberFormat="1" applyFont="1" applyFill="1" applyBorder="1"/>
    <xf numFmtId="43" fontId="4" fillId="0" borderId="1" xfId="1" applyFont="1" applyFill="1" applyBorder="1" applyAlignment="1">
      <alignment horizontal="right"/>
    </xf>
    <xf numFmtId="0" fontId="12" fillId="0" borderId="1" xfId="0" applyFont="1" applyBorder="1"/>
    <xf numFmtId="173" fontId="4" fillId="0" borderId="1" xfId="0" applyNumberFormat="1" applyFont="1" applyBorder="1"/>
    <xf numFmtId="17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73" fontId="3" fillId="0" borderId="1" xfId="2" applyNumberFormat="1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7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74" fontId="3" fillId="0" borderId="1" xfId="0" applyNumberFormat="1" applyFont="1" applyBorder="1"/>
    <xf numFmtId="174" fontId="3" fillId="0" borderId="1" xfId="3" applyNumberFormat="1" applyFont="1" applyBorder="1" applyAlignment="1">
      <alignment horizontal="right"/>
    </xf>
    <xf numFmtId="9" fontId="3" fillId="0" borderId="1" xfId="3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166" fontId="3" fillId="0" borderId="1" xfId="3" applyNumberFormat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left"/>
    </xf>
    <xf numFmtId="165" fontId="4" fillId="0" borderId="3" xfId="0" applyNumberFormat="1" applyFont="1" applyBorder="1" applyAlignment="1">
      <alignment horizontal="left"/>
    </xf>
    <xf numFmtId="165" fontId="4" fillId="0" borderId="4" xfId="0" applyNumberFormat="1" applyFont="1" applyBorder="1" applyAlignment="1">
      <alignment horizontal="left"/>
    </xf>
    <xf numFmtId="170" fontId="4" fillId="0" borderId="1" xfId="1" applyNumberFormat="1" applyFont="1" applyFill="1" applyBorder="1"/>
    <xf numFmtId="170" fontId="4" fillId="0" borderId="1" xfId="1" applyNumberFormat="1" applyFont="1" applyFill="1" applyBorder="1" applyAlignment="1">
      <alignment horizontal="right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08d4e1cd3418f22/Documenten/1.%20Tabellen%20voor%20nieuwsbri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 data"/>
      <sheetName val="crypto"/>
      <sheetName val="2021"/>
      <sheetName val="Copper plays"/>
      <sheetName val="Metals all"/>
      <sheetName val="Highscore List"/>
      <sheetName val="6B "/>
      <sheetName val="Optie cal"/>
      <sheetName val="Crescat"/>
      <sheetName val="Formules"/>
      <sheetName val="Dividend"/>
      <sheetName val="Gouddichtheid"/>
      <sheetName val="Watchlist"/>
      <sheetName val="2020"/>
      <sheetName val="2019"/>
      <sheetName val="Opties"/>
      <sheetName val="SHORT"/>
      <sheetName val="Blad1"/>
      <sheetName val="Blad3"/>
      <sheetName val="2018"/>
      <sheetName val="Mijnen"/>
      <sheetName val="Blad2"/>
      <sheetName val="Stockpicking"/>
      <sheetName val="BEARMARKET SURVIVAL"/>
    </sheetNames>
    <sheetDataSet>
      <sheetData sheetId="0">
        <row r="3">
          <cell r="D3">
            <v>1.0795638562020944</v>
          </cell>
          <cell r="G3">
            <v>3.98</v>
          </cell>
          <cell r="J3">
            <v>0.94</v>
          </cell>
          <cell r="M3">
            <v>4.93</v>
          </cell>
          <cell r="P3">
            <v>0.41</v>
          </cell>
        </row>
        <row r="4">
          <cell r="D4">
            <v>1.3726835964310227</v>
          </cell>
          <cell r="G4">
            <v>5.56</v>
          </cell>
          <cell r="M4">
            <v>1.43</v>
          </cell>
          <cell r="P4">
            <v>2.87</v>
          </cell>
        </row>
        <row r="5">
          <cell r="D5">
            <v>1.4916467780429594</v>
          </cell>
          <cell r="G5">
            <v>55.53</v>
          </cell>
          <cell r="M5">
            <v>4.0199999999999996</v>
          </cell>
          <cell r="P5">
            <v>0.32</v>
          </cell>
        </row>
        <row r="6">
          <cell r="D6">
            <v>0.84097216382137752</v>
          </cell>
          <cell r="G6">
            <v>34.06</v>
          </cell>
          <cell r="M6">
            <v>8.19</v>
          </cell>
          <cell r="P6">
            <v>1.1100000000000001</v>
          </cell>
          <cell r="S6">
            <v>11.7</v>
          </cell>
          <cell r="W6">
            <v>33.92</v>
          </cell>
        </row>
        <row r="7">
          <cell r="G7">
            <v>26.074999999999999</v>
          </cell>
          <cell r="J7">
            <v>8.02</v>
          </cell>
          <cell r="M7">
            <v>0.26250000000000001</v>
          </cell>
          <cell r="P7">
            <v>16.7</v>
          </cell>
          <cell r="W7">
            <v>3339.5</v>
          </cell>
        </row>
        <row r="8">
          <cell r="G8">
            <v>52.85</v>
          </cell>
          <cell r="J8">
            <v>48.1</v>
          </cell>
          <cell r="M8">
            <v>1.605</v>
          </cell>
          <cell r="S8">
            <v>158.54</v>
          </cell>
          <cell r="W8">
            <v>74.52</v>
          </cell>
        </row>
        <row r="9">
          <cell r="M9">
            <v>0.97</v>
          </cell>
          <cell r="S9">
            <v>8.02</v>
          </cell>
          <cell r="W9">
            <v>4.49</v>
          </cell>
        </row>
        <row r="10">
          <cell r="J10">
            <v>3.59</v>
          </cell>
          <cell r="M10">
            <v>0.11</v>
          </cell>
          <cell r="S10">
            <v>6.46</v>
          </cell>
          <cell r="W10">
            <v>64.180000000000007</v>
          </cell>
        </row>
        <row r="11">
          <cell r="C11">
            <v>1005.05</v>
          </cell>
          <cell r="J11">
            <v>8.09</v>
          </cell>
          <cell r="M11">
            <v>0.56999999999999995</v>
          </cell>
          <cell r="S11">
            <v>4.3899999999999997</v>
          </cell>
          <cell r="W11">
            <v>69.45</v>
          </cell>
        </row>
        <row r="12">
          <cell r="J12">
            <v>0.42499999999999999</v>
          </cell>
          <cell r="M12">
            <v>2.75</v>
          </cell>
          <cell r="S12">
            <v>0.51</v>
          </cell>
          <cell r="W12">
            <v>21.22</v>
          </cell>
        </row>
        <row r="13">
          <cell r="J13">
            <v>8.52</v>
          </cell>
          <cell r="M13">
            <v>0.34</v>
          </cell>
          <cell r="W13">
            <v>1.05</v>
          </cell>
        </row>
        <row r="14">
          <cell r="J14">
            <v>15.92</v>
          </cell>
          <cell r="M14">
            <v>1.01</v>
          </cell>
          <cell r="S14">
            <v>5.16</v>
          </cell>
          <cell r="W14">
            <v>0.69</v>
          </cell>
        </row>
        <row r="15">
          <cell r="J15">
            <v>0.25</v>
          </cell>
          <cell r="M15">
            <v>2.5299999999999998</v>
          </cell>
          <cell r="T15">
            <v>4.6410363761153057</v>
          </cell>
          <cell r="W15">
            <v>1.77</v>
          </cell>
        </row>
        <row r="16">
          <cell r="J16">
            <v>3.98</v>
          </cell>
          <cell r="M16">
            <v>0.34499999999999997</v>
          </cell>
          <cell r="S16">
            <v>1.45</v>
          </cell>
          <cell r="W16">
            <v>9.68</v>
          </cell>
        </row>
        <row r="17">
          <cell r="J17">
            <v>0.27</v>
          </cell>
          <cell r="M17">
            <v>1.64</v>
          </cell>
          <cell r="S17">
            <v>10.79</v>
          </cell>
          <cell r="W17">
            <v>10.7</v>
          </cell>
        </row>
        <row r="18">
          <cell r="J18">
            <v>0.62</v>
          </cell>
          <cell r="M18">
            <v>0.39250000000000002</v>
          </cell>
          <cell r="S18">
            <v>4.53</v>
          </cell>
          <cell r="W18">
            <v>392.5</v>
          </cell>
        </row>
        <row r="19">
          <cell r="J19">
            <v>4.4400000000000004</v>
          </cell>
          <cell r="M19">
            <v>0.73</v>
          </cell>
          <cell r="S19">
            <v>0.82499999999999996</v>
          </cell>
          <cell r="W19">
            <v>0.155</v>
          </cell>
        </row>
        <row r="20">
          <cell r="J20">
            <v>1.41</v>
          </cell>
          <cell r="S20">
            <v>0.245</v>
          </cell>
        </row>
        <row r="21">
          <cell r="J21">
            <v>14.54</v>
          </cell>
          <cell r="W21">
            <v>1.1100000000000001</v>
          </cell>
        </row>
        <row r="23">
          <cell r="J23">
            <v>1.8</v>
          </cell>
        </row>
        <row r="24">
          <cell r="W24">
            <v>1.19</v>
          </cell>
        </row>
        <row r="25">
          <cell r="W25">
            <v>0.76500000000000001</v>
          </cell>
        </row>
        <row r="26">
          <cell r="J26">
            <v>6.5</v>
          </cell>
        </row>
        <row r="28">
          <cell r="J28">
            <v>0.35499999999999998</v>
          </cell>
        </row>
        <row r="31">
          <cell r="J31">
            <v>0.31</v>
          </cell>
        </row>
        <row r="32">
          <cell r="J32">
            <v>0.66</v>
          </cell>
        </row>
        <row r="35">
          <cell r="J35">
            <v>0.61</v>
          </cell>
        </row>
        <row r="36">
          <cell r="J36">
            <v>2.2999999999999998</v>
          </cell>
        </row>
        <row r="37">
          <cell r="J37">
            <v>0.05</v>
          </cell>
        </row>
        <row r="39">
          <cell r="J39">
            <v>0.89</v>
          </cell>
        </row>
        <row r="40">
          <cell r="J40">
            <v>0.51300000000000001</v>
          </cell>
        </row>
        <row r="41">
          <cell r="J41">
            <v>1.1100000000000001</v>
          </cell>
        </row>
        <row r="43">
          <cell r="J43">
            <v>0.17499999999999999</v>
          </cell>
        </row>
        <row r="44">
          <cell r="J44">
            <v>2.27</v>
          </cell>
        </row>
        <row r="45">
          <cell r="J45">
            <v>0.41499999999999998</v>
          </cell>
        </row>
        <row r="46">
          <cell r="J46">
            <v>1.7</v>
          </cell>
        </row>
      </sheetData>
      <sheetData sheetId="1">
        <row r="2">
          <cell r="C2">
            <v>36744.164499999999</v>
          </cell>
        </row>
        <row r="3">
          <cell r="C3">
            <v>2731.6880000000001</v>
          </cell>
        </row>
        <row r="6">
          <cell r="C6">
            <v>0.82672612000000001</v>
          </cell>
        </row>
        <row r="9">
          <cell r="C9">
            <v>2.7906406000000001</v>
          </cell>
        </row>
        <row r="13">
          <cell r="C13">
            <v>1.8755550000000001</v>
          </cell>
        </row>
        <row r="24">
          <cell r="C24">
            <v>21.302600000000002</v>
          </cell>
        </row>
        <row r="28">
          <cell r="C28">
            <v>1.2633368</v>
          </cell>
        </row>
        <row r="34">
          <cell r="C34">
            <v>0.37529624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P3">
            <v>0.72</v>
          </cell>
        </row>
        <row r="4">
          <cell r="P4">
            <v>0.80999999999999994</v>
          </cell>
        </row>
        <row r="5">
          <cell r="P5">
            <v>0.6</v>
          </cell>
        </row>
        <row r="6">
          <cell r="P6">
            <v>5.28</v>
          </cell>
        </row>
        <row r="7">
          <cell r="P7">
            <v>3.16</v>
          </cell>
        </row>
        <row r="9">
          <cell r="P9">
            <v>0.72</v>
          </cell>
        </row>
        <row r="10">
          <cell r="P10">
            <v>0.08</v>
          </cell>
        </row>
        <row r="11">
          <cell r="P11">
            <v>3.2000000000000001E-2</v>
          </cell>
        </row>
        <row r="12">
          <cell r="P12">
            <v>0.49</v>
          </cell>
        </row>
        <row r="15">
          <cell r="P15">
            <v>4.1300000000000008</v>
          </cell>
        </row>
        <row r="35">
          <cell r="P35">
            <v>4.9000000000000009E-2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7D2A4-0ADD-A842-A8D7-ECE2BD61AE3F}">
  <dimension ref="A1:P177"/>
  <sheetViews>
    <sheetView tabSelected="1" workbookViewId="0">
      <selection activeCell="R6" sqref="R6"/>
    </sheetView>
  </sheetViews>
  <sheetFormatPr baseColWidth="10" defaultRowHeight="16" x14ac:dyDescent="0.2"/>
  <cols>
    <col min="1" max="1" width="25.33203125" bestFit="1" customWidth="1"/>
    <col min="2" max="2" width="5.1640625" bestFit="1" customWidth="1"/>
    <col min="3" max="3" width="6.83203125" bestFit="1" customWidth="1"/>
    <col min="4" max="4" width="4.5" bestFit="1" customWidth="1"/>
    <col min="5" max="5" width="6.6640625" bestFit="1" customWidth="1"/>
    <col min="6" max="6" width="6.1640625" bestFit="1" customWidth="1"/>
    <col min="7" max="7" width="6.6640625" bestFit="1" customWidth="1"/>
    <col min="8" max="8" width="6.1640625" bestFit="1" customWidth="1"/>
    <col min="9" max="9" width="5.6640625" customWidth="1"/>
    <col min="10" max="10" width="7" bestFit="1" customWidth="1"/>
    <col min="11" max="11" width="6.33203125" customWidth="1"/>
    <col min="12" max="12" width="6.33203125" bestFit="1" customWidth="1"/>
    <col min="13" max="13" width="8.1640625" customWidth="1"/>
    <col min="14" max="14" width="4.1640625" bestFit="1" customWidth="1"/>
    <col min="15" max="15" width="6" bestFit="1" customWidth="1"/>
    <col min="16" max="16" width="6.1640625" bestFit="1" customWidth="1"/>
  </cols>
  <sheetData>
    <row r="1" spans="1:16" x14ac:dyDescent="0.2">
      <c r="A1" s="1">
        <f ca="1">TODAY()</f>
        <v>44675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2" t="s">
        <v>0</v>
      </c>
      <c r="B2" s="3"/>
      <c r="C2" s="3"/>
      <c r="D2" s="3"/>
      <c r="E2" s="3"/>
      <c r="F2" s="4"/>
      <c r="G2" s="5"/>
      <c r="H2" s="6"/>
      <c r="I2" s="6"/>
      <c r="J2" s="6"/>
      <c r="K2" s="7"/>
      <c r="L2" s="8" t="s">
        <v>1</v>
      </c>
      <c r="M2" s="9">
        <f>SUM(K4:K17)</f>
        <v>16890.45753</v>
      </c>
      <c r="N2" s="10"/>
      <c r="O2" s="11"/>
      <c r="P2" s="12">
        <f>M2/P158</f>
        <v>0.24405017071544718</v>
      </c>
    </row>
    <row r="3" spans="1:16" x14ac:dyDescent="0.2">
      <c r="A3" s="13" t="s">
        <v>2</v>
      </c>
      <c r="B3" s="13" t="s">
        <v>3</v>
      </c>
      <c r="C3" s="14" t="s">
        <v>4</v>
      </c>
      <c r="D3" s="13" t="s">
        <v>5</v>
      </c>
      <c r="E3" s="15" t="s">
        <v>6</v>
      </c>
      <c r="F3" s="13" t="s">
        <v>7</v>
      </c>
      <c r="G3" s="13" t="s">
        <v>8</v>
      </c>
      <c r="H3" s="16" t="s">
        <v>9</v>
      </c>
      <c r="I3" s="13" t="s">
        <v>10</v>
      </c>
      <c r="J3" s="15" t="s">
        <v>11</v>
      </c>
      <c r="K3" s="13" t="s">
        <v>12</v>
      </c>
      <c r="L3" s="13" t="s">
        <v>13</v>
      </c>
      <c r="M3" s="17" t="s">
        <v>14</v>
      </c>
      <c r="N3" s="18" t="s">
        <v>15</v>
      </c>
      <c r="O3" s="19" t="s">
        <v>16</v>
      </c>
      <c r="P3" s="17" t="s">
        <v>17</v>
      </c>
    </row>
    <row r="4" spans="1:16" x14ac:dyDescent="0.2">
      <c r="A4" s="20" t="s">
        <v>18</v>
      </c>
      <c r="B4" s="20" t="s">
        <v>19</v>
      </c>
      <c r="C4" s="21">
        <v>44193</v>
      </c>
      <c r="D4" s="20">
        <v>100</v>
      </c>
      <c r="E4" s="22">
        <v>1.1766000000000001</v>
      </c>
      <c r="F4" s="23">
        <v>6.32</v>
      </c>
      <c r="G4" s="24">
        <f t="shared" ref="G4:G88" si="0">(F4*D4)/E4</f>
        <v>537.14091449940497</v>
      </c>
      <c r="H4" s="25">
        <f>'[1]auto data'!J7</f>
        <v>8.02</v>
      </c>
      <c r="I4" s="26">
        <f>[1]Dividend!P11</f>
        <v>3.2000000000000001E-2</v>
      </c>
      <c r="J4" s="22">
        <f>C153</f>
        <v>1.0795638562020944</v>
      </c>
      <c r="K4" s="24">
        <f t="shared" ref="K4:K17" si="1">((H4+I4)/J4)*D4</f>
        <v>745.85675999999989</v>
      </c>
      <c r="L4" s="27">
        <f t="shared" ref="L4:L14" si="2">(K4-G4)/G4</f>
        <v>0.38856813894936715</v>
      </c>
      <c r="M4" s="28">
        <f t="shared" ref="M4:M17" si="3">K4-G4</f>
        <v>208.71584550059492</v>
      </c>
      <c r="N4" s="29">
        <v>8.91</v>
      </c>
      <c r="O4" s="30">
        <f>(N4+I4)*0.75</f>
        <v>6.7065000000000001</v>
      </c>
      <c r="P4" s="31">
        <f t="shared" ref="P4:P14" si="4">O4-F4</f>
        <v>0.38649999999999984</v>
      </c>
    </row>
    <row r="5" spans="1:16" x14ac:dyDescent="0.2">
      <c r="A5" s="20" t="s">
        <v>20</v>
      </c>
      <c r="B5" s="20" t="s">
        <v>21</v>
      </c>
      <c r="C5" s="21">
        <v>44195</v>
      </c>
      <c r="D5" s="20">
        <v>30</v>
      </c>
      <c r="E5" s="22">
        <v>1.2286999999999999</v>
      </c>
      <c r="F5" s="23">
        <v>42.5</v>
      </c>
      <c r="G5" s="24">
        <f t="shared" si="0"/>
        <v>1037.6821030357289</v>
      </c>
      <c r="H5" s="25">
        <f>'[1]auto data'!J8</f>
        <v>48.1</v>
      </c>
      <c r="I5" s="26">
        <f>[1]Dividend!P3</f>
        <v>0.72</v>
      </c>
      <c r="J5" s="22">
        <f>C153</f>
        <v>1.0795638562020944</v>
      </c>
      <c r="K5" s="24">
        <f t="shared" si="1"/>
        <v>1356.6589800000002</v>
      </c>
      <c r="L5" s="27">
        <f t="shared" si="2"/>
        <v>0.30739363821647064</v>
      </c>
      <c r="M5" s="28">
        <f t="shared" si="3"/>
        <v>318.97687696427124</v>
      </c>
      <c r="N5" s="29">
        <v>51.29</v>
      </c>
      <c r="O5" s="30">
        <f>(N5+I5)*0.75</f>
        <v>39.0075</v>
      </c>
      <c r="P5" s="32">
        <f t="shared" si="4"/>
        <v>-3.4924999999999997</v>
      </c>
    </row>
    <row r="6" spans="1:16" x14ac:dyDescent="0.2">
      <c r="A6" s="20" t="s">
        <v>22</v>
      </c>
      <c r="B6" s="20" t="s">
        <v>23</v>
      </c>
      <c r="C6" s="21">
        <v>44210</v>
      </c>
      <c r="D6" s="20">
        <v>200</v>
      </c>
      <c r="E6" s="22">
        <v>1.56</v>
      </c>
      <c r="F6" s="23">
        <v>2.52</v>
      </c>
      <c r="G6" s="24">
        <f t="shared" si="0"/>
        <v>323.07692307692304</v>
      </c>
      <c r="H6" s="25">
        <f>'[1]auto data'!J10</f>
        <v>3.59</v>
      </c>
      <c r="I6" s="26">
        <v>0</v>
      </c>
      <c r="J6" s="22">
        <f>C154</f>
        <v>1.3726835964310227</v>
      </c>
      <c r="K6" s="24">
        <f t="shared" si="1"/>
        <v>523.06299999999999</v>
      </c>
      <c r="L6" s="27">
        <f t="shared" si="2"/>
        <v>0.61900452380952398</v>
      </c>
      <c r="M6" s="28">
        <f t="shared" si="3"/>
        <v>199.98607692307695</v>
      </c>
      <c r="N6" s="29">
        <v>3.82</v>
      </c>
      <c r="O6" s="30">
        <f>(N6+I6)*0.66</f>
        <v>2.5211999999999999</v>
      </c>
      <c r="P6" s="31">
        <f t="shared" si="4"/>
        <v>1.1999999999998678E-3</v>
      </c>
    </row>
    <row r="7" spans="1:16" x14ac:dyDescent="0.2">
      <c r="A7" s="20" t="s">
        <v>24</v>
      </c>
      <c r="B7" s="20" t="s">
        <v>25</v>
      </c>
      <c r="C7" s="21">
        <v>44211</v>
      </c>
      <c r="D7" s="20">
        <v>50</v>
      </c>
      <c r="E7" s="22">
        <v>1.1615</v>
      </c>
      <c r="F7" s="23">
        <v>8.2349999999999994</v>
      </c>
      <c r="G7" s="24">
        <f t="shared" si="0"/>
        <v>354.49849332759362</v>
      </c>
      <c r="H7" s="25">
        <f>'[1]auto data'!J11</f>
        <v>8.09</v>
      </c>
      <c r="I7" s="26">
        <v>0</v>
      </c>
      <c r="J7" s="22">
        <f>C153</f>
        <v>1.0795638562020944</v>
      </c>
      <c r="K7" s="24">
        <f t="shared" si="1"/>
        <v>374.68835000000001</v>
      </c>
      <c r="L7" s="27">
        <f t="shared" si="2"/>
        <v>5.6953293321190104E-2</v>
      </c>
      <c r="M7" s="28">
        <f t="shared" si="3"/>
        <v>20.189856672406393</v>
      </c>
      <c r="N7" s="29">
        <v>10.15</v>
      </c>
      <c r="O7" s="30">
        <f>(N7+I7)*0.66</f>
        <v>6.6990000000000007</v>
      </c>
      <c r="P7" s="32">
        <f t="shared" si="4"/>
        <v>-1.5359999999999987</v>
      </c>
    </row>
    <row r="8" spans="1:16" x14ac:dyDescent="0.2">
      <c r="A8" s="20" t="s">
        <v>26</v>
      </c>
      <c r="B8" s="20" t="s">
        <v>27</v>
      </c>
      <c r="C8" s="21">
        <v>44250</v>
      </c>
      <c r="D8" s="20">
        <v>750</v>
      </c>
      <c r="E8" s="22">
        <v>1.1871</v>
      </c>
      <c r="F8" s="23">
        <v>8.9</v>
      </c>
      <c r="G8" s="24">
        <f t="shared" si="0"/>
        <v>5622.9466767753347</v>
      </c>
      <c r="H8" s="25">
        <f>'[1]auto data'!J13</f>
        <v>8.52</v>
      </c>
      <c r="I8" s="26">
        <v>0</v>
      </c>
      <c r="J8" s="22">
        <f>C153</f>
        <v>1.0795638562020944</v>
      </c>
      <c r="K8" s="24">
        <f t="shared" si="1"/>
        <v>5919.0569999999998</v>
      </c>
      <c r="L8" s="27">
        <f t="shared" si="2"/>
        <v>5.2661058382022459E-2</v>
      </c>
      <c r="M8" s="28">
        <f t="shared" si="3"/>
        <v>296.11032322466508</v>
      </c>
      <c r="N8" s="29">
        <v>10.07</v>
      </c>
      <c r="O8" s="30">
        <f>(N8+I8)*0.75</f>
        <v>7.5525000000000002</v>
      </c>
      <c r="P8" s="32">
        <f t="shared" si="4"/>
        <v>-1.3475000000000001</v>
      </c>
    </row>
    <row r="9" spans="1:16" x14ac:dyDescent="0.2">
      <c r="A9" s="20" t="s">
        <v>28</v>
      </c>
      <c r="B9" s="20" t="s">
        <v>29</v>
      </c>
      <c r="C9" s="21">
        <v>44295</v>
      </c>
      <c r="D9" s="20">
        <v>200</v>
      </c>
      <c r="E9" s="22">
        <v>1.1847000000000001</v>
      </c>
      <c r="F9" s="23">
        <v>18.54</v>
      </c>
      <c r="G9" s="24">
        <f t="shared" si="0"/>
        <v>3129.9063053937703</v>
      </c>
      <c r="H9" s="25">
        <f>'[1]auto data'!J14</f>
        <v>15.92</v>
      </c>
      <c r="I9" s="26">
        <v>0</v>
      </c>
      <c r="J9" s="22">
        <f>C153</f>
        <v>1.0795638562020944</v>
      </c>
      <c r="K9" s="24">
        <f t="shared" si="1"/>
        <v>2949.3391999999999</v>
      </c>
      <c r="L9" s="33">
        <f t="shared" si="2"/>
        <v>-5.7690897993527446E-2</v>
      </c>
      <c r="M9" s="28">
        <f t="shared" si="3"/>
        <v>-180.56710539377036</v>
      </c>
      <c r="N9" s="29">
        <v>20.2</v>
      </c>
      <c r="O9" s="30">
        <f>(N9+I9)*0.75</f>
        <v>15.149999999999999</v>
      </c>
      <c r="P9" s="32">
        <f t="shared" si="4"/>
        <v>-3.3900000000000006</v>
      </c>
    </row>
    <row r="10" spans="1:16" x14ac:dyDescent="0.2">
      <c r="A10" s="34" t="s">
        <v>30</v>
      </c>
      <c r="B10" s="20" t="s">
        <v>31</v>
      </c>
      <c r="C10" s="21">
        <v>44313</v>
      </c>
      <c r="D10" s="20">
        <v>2000</v>
      </c>
      <c r="E10" s="22">
        <v>1.4993000000000001</v>
      </c>
      <c r="F10" s="23">
        <v>0.33750000000000002</v>
      </c>
      <c r="G10" s="24">
        <f t="shared" si="0"/>
        <v>450.21009804575465</v>
      </c>
      <c r="H10" s="25">
        <f>'[1]auto data'!J15</f>
        <v>0.25</v>
      </c>
      <c r="I10" s="26">
        <v>0</v>
      </c>
      <c r="J10" s="22">
        <f>C154</f>
        <v>1.3726835964310227</v>
      </c>
      <c r="K10" s="24">
        <f t="shared" si="1"/>
        <v>364.25</v>
      </c>
      <c r="L10" s="33">
        <f t="shared" si="2"/>
        <v>-0.19093329629629624</v>
      </c>
      <c r="M10" s="28">
        <f t="shared" si="3"/>
        <v>-85.960098045754648</v>
      </c>
      <c r="N10" s="29">
        <v>0.44</v>
      </c>
      <c r="O10" s="30">
        <f>(N10+I10)*0.5</f>
        <v>0.22</v>
      </c>
      <c r="P10" s="32">
        <f t="shared" si="4"/>
        <v>-0.11750000000000002</v>
      </c>
    </row>
    <row r="11" spans="1:16" x14ac:dyDescent="0.2">
      <c r="A11" s="20" t="s">
        <v>32</v>
      </c>
      <c r="B11" s="20" t="s">
        <v>33</v>
      </c>
      <c r="C11" s="21">
        <v>44341</v>
      </c>
      <c r="D11" s="20">
        <v>200</v>
      </c>
      <c r="E11" s="22">
        <v>1.2256</v>
      </c>
      <c r="F11" s="23">
        <v>5.0999999999999996</v>
      </c>
      <c r="G11" s="24">
        <f t="shared" si="0"/>
        <v>832.24543080939941</v>
      </c>
      <c r="H11" s="25">
        <f>'[1]auto data'!J16</f>
        <v>3.98</v>
      </c>
      <c r="I11" s="26">
        <v>0</v>
      </c>
      <c r="J11" s="22">
        <f>C153</f>
        <v>1.0795638562020944</v>
      </c>
      <c r="K11" s="24">
        <f>((H11+I11)/J11)*D11+349</f>
        <v>1086.3348000000001</v>
      </c>
      <c r="L11" s="27">
        <f t="shared" si="2"/>
        <v>0.30530581458823552</v>
      </c>
      <c r="M11" s="28">
        <f t="shared" si="3"/>
        <v>254.08936919060068</v>
      </c>
      <c r="N11" s="29">
        <v>5.0999999999999996</v>
      </c>
      <c r="O11" s="30">
        <f t="shared" ref="O11:O17" si="5">(N11+I11)*0.66</f>
        <v>3.3660000000000001</v>
      </c>
      <c r="P11" s="32">
        <f t="shared" si="4"/>
        <v>-1.7339999999999995</v>
      </c>
    </row>
    <row r="12" spans="1:16" x14ac:dyDescent="0.2">
      <c r="A12" s="34" t="s">
        <v>34</v>
      </c>
      <c r="B12" s="20" t="s">
        <v>35</v>
      </c>
      <c r="C12" s="21">
        <v>44368</v>
      </c>
      <c r="D12" s="20">
        <v>200</v>
      </c>
      <c r="E12" s="22">
        <v>1.1617</v>
      </c>
      <c r="F12" s="23">
        <v>8.18</v>
      </c>
      <c r="G12" s="24">
        <f t="shared" si="0"/>
        <v>1408.2809675475596</v>
      </c>
      <c r="H12" s="25">
        <f>H91</f>
        <v>6.46</v>
      </c>
      <c r="I12" s="26">
        <v>0</v>
      </c>
      <c r="J12" s="22">
        <f>C153</f>
        <v>1.0795638562020944</v>
      </c>
      <c r="K12" s="24">
        <f t="shared" si="1"/>
        <v>1196.7796000000001</v>
      </c>
      <c r="L12" s="33">
        <f t="shared" si="2"/>
        <v>-0.15018407009779947</v>
      </c>
      <c r="M12" s="28">
        <f t="shared" si="3"/>
        <v>-211.50136754755954</v>
      </c>
      <c r="N12" s="29">
        <v>9.7100000000000009</v>
      </c>
      <c r="O12" s="30">
        <f t="shared" si="5"/>
        <v>6.4086000000000007</v>
      </c>
      <c r="P12" s="32">
        <f t="shared" si="4"/>
        <v>-1.771399999999999</v>
      </c>
    </row>
    <row r="13" spans="1:16" x14ac:dyDescent="0.2">
      <c r="A13" s="20" t="s">
        <v>36</v>
      </c>
      <c r="B13" s="20" t="s">
        <v>37</v>
      </c>
      <c r="C13" s="21">
        <v>44388</v>
      </c>
      <c r="D13" s="20">
        <v>100</v>
      </c>
      <c r="E13" s="22">
        <v>1.18</v>
      </c>
      <c r="F13" s="23">
        <v>5.29</v>
      </c>
      <c r="G13" s="24">
        <f>(F13*D13)/E13</f>
        <v>448.30508474576271</v>
      </c>
      <c r="H13" s="25">
        <f>'[1]auto data'!J19</f>
        <v>4.4400000000000004</v>
      </c>
      <c r="I13" s="26">
        <v>0</v>
      </c>
      <c r="J13" s="22">
        <f>C153</f>
        <v>1.0795638562020944</v>
      </c>
      <c r="K13" s="24">
        <f t="shared" si="1"/>
        <v>411.27720000000005</v>
      </c>
      <c r="L13" s="33">
        <f t="shared" si="2"/>
        <v>-8.2595281663515957E-2</v>
      </c>
      <c r="M13" s="28">
        <f t="shared" si="3"/>
        <v>-37.027884745762663</v>
      </c>
      <c r="N13" s="29">
        <v>5.58</v>
      </c>
      <c r="O13" s="30">
        <f t="shared" si="5"/>
        <v>3.6828000000000003</v>
      </c>
      <c r="P13" s="32">
        <f t="shared" si="4"/>
        <v>-1.6071999999999997</v>
      </c>
    </row>
    <row r="14" spans="1:16" x14ac:dyDescent="0.2">
      <c r="A14" s="20" t="s">
        <v>38</v>
      </c>
      <c r="B14" s="20" t="s">
        <v>39</v>
      </c>
      <c r="C14" s="21">
        <v>44433</v>
      </c>
      <c r="D14" s="20">
        <v>300</v>
      </c>
      <c r="E14" s="22">
        <v>1.4830000000000001</v>
      </c>
      <c r="F14" s="23">
        <v>1.27</v>
      </c>
      <c r="G14" s="24">
        <f>(F14*D14)/E14</f>
        <v>256.91166554281858</v>
      </c>
      <c r="H14" s="35">
        <f>'[1]auto data'!J20</f>
        <v>1.41</v>
      </c>
      <c r="I14" s="26">
        <f>[1]Dividend!P10</f>
        <v>0.08</v>
      </c>
      <c r="J14" s="22">
        <f>C154</f>
        <v>1.3726835964310227</v>
      </c>
      <c r="K14" s="24">
        <f t="shared" si="1"/>
        <v>325.6395</v>
      </c>
      <c r="L14" s="27">
        <f t="shared" si="2"/>
        <v>0.2675154291338584</v>
      </c>
      <c r="M14" s="28">
        <f t="shared" si="3"/>
        <v>68.727834457181416</v>
      </c>
      <c r="N14" s="29">
        <v>1.5</v>
      </c>
      <c r="O14" s="30">
        <f t="shared" si="5"/>
        <v>1.0428000000000002</v>
      </c>
      <c r="P14" s="32">
        <f t="shared" si="4"/>
        <v>-0.22719999999999985</v>
      </c>
    </row>
    <row r="15" spans="1:16" x14ac:dyDescent="0.2">
      <c r="A15" s="20" t="s">
        <v>40</v>
      </c>
      <c r="B15" s="20" t="s">
        <v>41</v>
      </c>
      <c r="C15" s="21">
        <v>44517</v>
      </c>
      <c r="D15" s="20">
        <v>40</v>
      </c>
      <c r="E15" s="22">
        <v>1.1301000000000001</v>
      </c>
      <c r="F15" s="23">
        <v>12.82</v>
      </c>
      <c r="G15" s="24">
        <f>(F15*D15)/E15</f>
        <v>453.76515352623653</v>
      </c>
      <c r="H15" s="35">
        <f>'[1]auto data'!J21</f>
        <v>14.54</v>
      </c>
      <c r="I15" s="26">
        <f>[1]Dividend!P12</f>
        <v>0.49</v>
      </c>
      <c r="J15" s="22">
        <f>C153</f>
        <v>1.0795638562020944</v>
      </c>
      <c r="K15" s="24">
        <f>((H15+I15)/J15)*D15</f>
        <v>556.89156000000003</v>
      </c>
      <c r="L15" s="27">
        <f>(K15-G15)/G15</f>
        <v>0.22726823704368204</v>
      </c>
      <c r="M15" s="28">
        <f t="shared" si="3"/>
        <v>103.1264064737635</v>
      </c>
      <c r="N15" s="29">
        <v>20.11</v>
      </c>
      <c r="O15" s="30">
        <f>(N15+I15)*0.66</f>
        <v>13.596</v>
      </c>
      <c r="P15" s="31">
        <f>O15-F15</f>
        <v>0.7759999999999998</v>
      </c>
    </row>
    <row r="16" spans="1:16" x14ac:dyDescent="0.2">
      <c r="A16" s="20" t="s">
        <v>42</v>
      </c>
      <c r="B16" s="20" t="s">
        <v>41</v>
      </c>
      <c r="C16" s="21">
        <v>44658</v>
      </c>
      <c r="D16" s="20">
        <v>40</v>
      </c>
      <c r="E16" s="22">
        <v>1.0878000000000001</v>
      </c>
      <c r="F16" s="23">
        <v>15.84</v>
      </c>
      <c r="G16" s="24">
        <f>(F16*D16)/E16</f>
        <v>582.46001103143954</v>
      </c>
      <c r="H16" s="35">
        <f>H15</f>
        <v>14.54</v>
      </c>
      <c r="I16" s="26">
        <v>0</v>
      </c>
      <c r="J16" s="22">
        <f>C153</f>
        <v>1.0795638562020944</v>
      </c>
      <c r="K16" s="24">
        <f>((H16+I16)/J16)*D16</f>
        <v>538.73608000000002</v>
      </c>
      <c r="L16" s="33">
        <f>(K16-G16)/G16</f>
        <v>-7.5067695984848345E-2</v>
      </c>
      <c r="M16" s="28">
        <f t="shared" si="3"/>
        <v>-43.72393103143952</v>
      </c>
      <c r="N16" s="29">
        <v>20.399999999999999</v>
      </c>
      <c r="O16" s="30">
        <f>(N16+I16)*0.66</f>
        <v>13.464</v>
      </c>
      <c r="P16" s="32">
        <f>O16-F16</f>
        <v>-2.3759999999999994</v>
      </c>
    </row>
    <row r="17" spans="1:16" x14ac:dyDescent="0.2">
      <c r="A17" s="20" t="s">
        <v>43</v>
      </c>
      <c r="B17" s="20" t="s">
        <v>44</v>
      </c>
      <c r="C17" s="21">
        <v>44589</v>
      </c>
      <c r="D17" s="20">
        <v>50</v>
      </c>
      <c r="E17" s="22">
        <v>1.1152</v>
      </c>
      <c r="F17" s="23">
        <v>9.56</v>
      </c>
      <c r="G17" s="24">
        <f>(F17*D17)/E17</f>
        <v>428.62266857962697</v>
      </c>
      <c r="H17" s="35">
        <f>'[1]auto data'!S6</f>
        <v>11.7</v>
      </c>
      <c r="I17" s="26">
        <v>0</v>
      </c>
      <c r="J17" s="22">
        <f>C153</f>
        <v>1.0795638562020944</v>
      </c>
      <c r="K17" s="24">
        <f t="shared" si="1"/>
        <v>541.88549999999998</v>
      </c>
      <c r="L17" s="27">
        <f t="shared" ref="L17" si="6">(K17-G17)/G17</f>
        <v>0.26424834644351458</v>
      </c>
      <c r="M17" s="28">
        <f t="shared" si="3"/>
        <v>113.262831420373</v>
      </c>
      <c r="N17" s="29">
        <v>14.24</v>
      </c>
      <c r="O17" s="30">
        <f t="shared" si="5"/>
        <v>9.3984000000000005</v>
      </c>
      <c r="P17" s="32">
        <f t="shared" ref="P17" si="7">O17-F17</f>
        <v>-0.16159999999999997</v>
      </c>
    </row>
    <row r="18" spans="1:16" x14ac:dyDescent="0.2">
      <c r="A18" s="2" t="s">
        <v>45</v>
      </c>
      <c r="B18" s="3"/>
      <c r="C18" s="3"/>
      <c r="D18" s="3"/>
      <c r="E18" s="3"/>
      <c r="F18" s="4"/>
      <c r="G18" s="5"/>
      <c r="H18" s="6"/>
      <c r="I18" s="6"/>
      <c r="J18" s="6"/>
      <c r="K18" s="7"/>
      <c r="L18" s="8" t="s">
        <v>1</v>
      </c>
      <c r="M18" s="9">
        <f>SUM(K20:K37)</f>
        <v>4641.563145000001</v>
      </c>
      <c r="N18" s="10"/>
      <c r="O18" s="11"/>
      <c r="P18" s="12">
        <f>M18/P158</f>
        <v>6.7065932104669171E-2</v>
      </c>
    </row>
    <row r="19" spans="1:16" x14ac:dyDescent="0.2">
      <c r="A19" s="13" t="s">
        <v>2</v>
      </c>
      <c r="B19" s="13" t="s">
        <v>3</v>
      </c>
      <c r="C19" s="14" t="s">
        <v>4</v>
      </c>
      <c r="D19" s="13" t="s">
        <v>5</v>
      </c>
      <c r="E19" s="15" t="s">
        <v>6</v>
      </c>
      <c r="F19" s="13" t="s">
        <v>7</v>
      </c>
      <c r="G19" s="13" t="s">
        <v>8</v>
      </c>
      <c r="H19" s="16" t="s">
        <v>9</v>
      </c>
      <c r="I19" s="13" t="s">
        <v>10</v>
      </c>
      <c r="J19" s="15" t="s">
        <v>11</v>
      </c>
      <c r="K19" s="13" t="s">
        <v>12</v>
      </c>
      <c r="L19" s="13" t="s">
        <v>13</v>
      </c>
      <c r="M19" s="17" t="s">
        <v>14</v>
      </c>
      <c r="N19" s="18" t="s">
        <v>15</v>
      </c>
      <c r="O19" s="19" t="s">
        <v>16</v>
      </c>
      <c r="P19" s="17" t="s">
        <v>17</v>
      </c>
    </row>
    <row r="20" spans="1:16" x14ac:dyDescent="0.2">
      <c r="A20" s="34" t="s">
        <v>46</v>
      </c>
      <c r="B20" s="20" t="s">
        <v>47</v>
      </c>
      <c r="C20" s="21">
        <v>44054</v>
      </c>
      <c r="D20" s="20">
        <v>200</v>
      </c>
      <c r="E20" s="22">
        <v>1.58</v>
      </c>
      <c r="F20" s="23">
        <v>3.13</v>
      </c>
      <c r="G20" s="24">
        <f t="shared" si="0"/>
        <v>396.20253164556959</v>
      </c>
      <c r="H20" s="25">
        <f>'[1]auto data'!J23</f>
        <v>1.8</v>
      </c>
      <c r="I20" s="20">
        <v>0</v>
      </c>
      <c r="J20" s="22">
        <f>C154</f>
        <v>1.3726835964310227</v>
      </c>
      <c r="K20" s="24">
        <f t="shared" ref="K20:K24" si="8">((H20+I20)/J20)*D20</f>
        <v>262.26</v>
      </c>
      <c r="L20" s="33">
        <f t="shared" ref="L20:L24" si="9">(K20-G20)/G20</f>
        <v>-0.33806581469648561</v>
      </c>
      <c r="M20" s="28">
        <f t="shared" ref="M20:M45" si="10">K20-G20</f>
        <v>-133.9425316455696</v>
      </c>
      <c r="N20" s="29">
        <v>3.65</v>
      </c>
      <c r="O20" s="30">
        <f t="shared" ref="O20:O23" si="11">(N20+I20)*0.5</f>
        <v>1.825</v>
      </c>
      <c r="P20" s="32">
        <f t="shared" ref="P20:P24" si="12">O20-F20</f>
        <v>-1.3049999999999999</v>
      </c>
    </row>
    <row r="21" spans="1:16" x14ac:dyDescent="0.2">
      <c r="A21" s="36" t="s">
        <v>48</v>
      </c>
      <c r="B21" s="20" t="s">
        <v>49</v>
      </c>
      <c r="C21" s="21">
        <v>44096</v>
      </c>
      <c r="D21" s="20">
        <v>500</v>
      </c>
      <c r="E21" s="22">
        <v>1.56</v>
      </c>
      <c r="F21" s="23">
        <v>0.6</v>
      </c>
      <c r="G21" s="24">
        <f t="shared" si="0"/>
        <v>192.30769230769229</v>
      </c>
      <c r="H21" s="25">
        <f>'[1]auto data'!J28</f>
        <v>0.35499999999999998</v>
      </c>
      <c r="I21" s="20">
        <v>0</v>
      </c>
      <c r="J21" s="22">
        <f>C154</f>
        <v>1.3726835964310227</v>
      </c>
      <c r="K21" s="24">
        <f t="shared" si="8"/>
        <v>129.30875</v>
      </c>
      <c r="L21" s="33">
        <f t="shared" si="9"/>
        <v>-0.32759449999999996</v>
      </c>
      <c r="M21" s="28">
        <f t="shared" si="10"/>
        <v>-62.998942307692289</v>
      </c>
      <c r="N21" s="29">
        <v>0.7</v>
      </c>
      <c r="O21" s="30">
        <f t="shared" si="11"/>
        <v>0.35</v>
      </c>
      <c r="P21" s="32">
        <f t="shared" si="12"/>
        <v>-0.25</v>
      </c>
    </row>
    <row r="22" spans="1:16" x14ac:dyDescent="0.2">
      <c r="A22" s="37" t="s">
        <v>50</v>
      </c>
      <c r="B22" s="20" t="s">
        <v>51</v>
      </c>
      <c r="C22" s="21">
        <v>44158</v>
      </c>
      <c r="D22" s="20">
        <v>250</v>
      </c>
      <c r="E22" s="22">
        <v>1.55</v>
      </c>
      <c r="F22" s="23">
        <v>1.32</v>
      </c>
      <c r="G22" s="24">
        <f t="shared" si="0"/>
        <v>212.90322580645162</v>
      </c>
      <c r="H22" s="25">
        <f>'[1]auto data'!J31</f>
        <v>0.31</v>
      </c>
      <c r="I22" s="20">
        <v>0</v>
      </c>
      <c r="J22" s="22">
        <f>C154</f>
        <v>1.3726835964310227</v>
      </c>
      <c r="K22" s="24">
        <f t="shared" si="8"/>
        <v>56.458750000000002</v>
      </c>
      <c r="L22" s="33">
        <f t="shared" si="9"/>
        <v>-0.73481496212121211</v>
      </c>
      <c r="M22" s="28">
        <f t="shared" si="10"/>
        <v>-156.44447580645161</v>
      </c>
      <c r="N22" s="29">
        <v>1.78</v>
      </c>
      <c r="O22" s="30">
        <f t="shared" si="11"/>
        <v>0.89</v>
      </c>
      <c r="P22" s="32">
        <f t="shared" si="12"/>
        <v>-0.43000000000000005</v>
      </c>
    </row>
    <row r="23" spans="1:16" x14ac:dyDescent="0.2">
      <c r="A23" s="20" t="s">
        <v>52</v>
      </c>
      <c r="B23" s="20" t="s">
        <v>53</v>
      </c>
      <c r="C23" s="21">
        <v>44159</v>
      </c>
      <c r="D23" s="20">
        <v>300</v>
      </c>
      <c r="E23" s="22">
        <v>1.55</v>
      </c>
      <c r="F23" s="23">
        <v>1.19</v>
      </c>
      <c r="G23" s="24">
        <f t="shared" si="0"/>
        <v>230.32258064516128</v>
      </c>
      <c r="H23" s="25">
        <f>'[1]auto data'!J32</f>
        <v>0.66</v>
      </c>
      <c r="I23" s="20">
        <v>0</v>
      </c>
      <c r="J23" s="22">
        <f>C154</f>
        <v>1.3726835964310227</v>
      </c>
      <c r="K23" s="24">
        <f t="shared" si="8"/>
        <v>144.24299999999999</v>
      </c>
      <c r="L23" s="33">
        <f t="shared" si="9"/>
        <v>-0.37373487394957983</v>
      </c>
      <c r="M23" s="28">
        <f t="shared" si="10"/>
        <v>-86.079580645161286</v>
      </c>
      <c r="N23" s="29">
        <v>1.25</v>
      </c>
      <c r="O23" s="30">
        <f t="shared" si="11"/>
        <v>0.625</v>
      </c>
      <c r="P23" s="32">
        <f t="shared" si="12"/>
        <v>-0.56499999999999995</v>
      </c>
    </row>
    <row r="24" spans="1:16" x14ac:dyDescent="0.2">
      <c r="A24" s="34" t="s">
        <v>54</v>
      </c>
      <c r="B24" s="20" t="s">
        <v>55</v>
      </c>
      <c r="C24" s="21">
        <v>44203</v>
      </c>
      <c r="D24" s="20">
        <v>600</v>
      </c>
      <c r="E24" s="22">
        <v>1.52</v>
      </c>
      <c r="F24" s="23">
        <v>0.94</v>
      </c>
      <c r="G24" s="24">
        <f t="shared" si="0"/>
        <v>371.05263157894734</v>
      </c>
      <c r="H24" s="25">
        <f>'[1]auto data'!J35</f>
        <v>0.61</v>
      </c>
      <c r="I24" s="20">
        <v>0</v>
      </c>
      <c r="J24" s="22">
        <f>C154</f>
        <v>1.3726835964310227</v>
      </c>
      <c r="K24" s="24">
        <f t="shared" si="8"/>
        <v>266.63099999999997</v>
      </c>
      <c r="L24" s="33">
        <f t="shared" si="9"/>
        <v>-0.28142</v>
      </c>
      <c r="M24" s="28">
        <f>K24-G24</f>
        <v>-104.42163157894737</v>
      </c>
      <c r="N24" s="29">
        <v>0.94</v>
      </c>
      <c r="O24" s="30">
        <f>(N24+I24)*0.5</f>
        <v>0.47</v>
      </c>
      <c r="P24" s="32">
        <f t="shared" si="12"/>
        <v>-0.47</v>
      </c>
    </row>
    <row r="25" spans="1:16" x14ac:dyDescent="0.2">
      <c r="A25" s="20" t="s">
        <v>56</v>
      </c>
      <c r="B25" s="20" t="s">
        <v>57</v>
      </c>
      <c r="C25" s="21">
        <v>43837</v>
      </c>
      <c r="D25" s="20">
        <v>720</v>
      </c>
      <c r="E25" s="22">
        <v>1.45</v>
      </c>
      <c r="F25" s="23">
        <v>0.81</v>
      </c>
      <c r="G25" s="24">
        <f t="shared" si="0"/>
        <v>402.20689655172418</v>
      </c>
      <c r="H25" s="25">
        <f>'[1]auto data'!J3</f>
        <v>0.94</v>
      </c>
      <c r="I25" s="20">
        <v>0</v>
      </c>
      <c r="J25" s="22">
        <f>C154</f>
        <v>1.3726835964310227</v>
      </c>
      <c r="K25" s="24">
        <f>((H25+I25)/J25)*D25</f>
        <v>493.04879999999991</v>
      </c>
      <c r="L25" s="27">
        <f>(K25-G25)/G25</f>
        <v>0.22585864197530828</v>
      </c>
      <c r="M25" s="28">
        <f t="shared" ref="M25:M37" si="13">K25-G25</f>
        <v>90.84190344827573</v>
      </c>
      <c r="N25" s="29">
        <v>1.55</v>
      </c>
      <c r="O25" s="30">
        <f>(N25+I25)*0.33</f>
        <v>0.51150000000000007</v>
      </c>
      <c r="P25" s="32">
        <f>O25-F25</f>
        <v>-0.29849999999999999</v>
      </c>
    </row>
    <row r="26" spans="1:16" x14ac:dyDescent="0.2">
      <c r="A26" s="36" t="s">
        <v>58</v>
      </c>
      <c r="B26" s="20" t="s">
        <v>59</v>
      </c>
      <c r="C26" s="21">
        <v>44246</v>
      </c>
      <c r="D26" s="20">
        <v>1200</v>
      </c>
      <c r="E26" s="22">
        <v>1.51</v>
      </c>
      <c r="F26" s="23">
        <v>0.63</v>
      </c>
      <c r="G26" s="24">
        <f t="shared" si="0"/>
        <v>500.66225165562912</v>
      </c>
      <c r="H26" s="25">
        <f>'[1]auto data'!J12</f>
        <v>0.42499999999999999</v>
      </c>
      <c r="I26" s="38">
        <v>0</v>
      </c>
      <c r="J26" s="22">
        <f>C154</f>
        <v>1.3726835964310227</v>
      </c>
      <c r="K26" s="24">
        <f t="shared" ref="K26:K37" si="14">((H26+I26)/J26)*D26</f>
        <v>371.53500000000003</v>
      </c>
      <c r="L26" s="33">
        <f t="shared" ref="L26" si="15">(K26-G26)/G26</f>
        <v>-0.25791289682539675</v>
      </c>
      <c r="M26" s="28">
        <f t="shared" si="13"/>
        <v>-129.1272516556291</v>
      </c>
      <c r="N26" s="29">
        <v>0.51</v>
      </c>
      <c r="O26" s="30">
        <f>(N26+I26)*0.66</f>
        <v>0.33660000000000001</v>
      </c>
      <c r="P26" s="32">
        <f t="shared" ref="P26:P37" si="16">O26-F26</f>
        <v>-0.29339999999999999</v>
      </c>
    </row>
    <row r="27" spans="1:16" x14ac:dyDescent="0.2">
      <c r="A27" s="34" t="s">
        <v>60</v>
      </c>
      <c r="B27" s="20" t="s">
        <v>61</v>
      </c>
      <c r="C27" s="21">
        <v>44376</v>
      </c>
      <c r="D27" s="20">
        <v>2000</v>
      </c>
      <c r="E27" s="22">
        <v>1.46</v>
      </c>
      <c r="F27" s="23">
        <v>0.375</v>
      </c>
      <c r="G27" s="24">
        <f t="shared" si="0"/>
        <v>513.69863013698637</v>
      </c>
      <c r="H27" s="35">
        <f>'[1]auto data'!J17</f>
        <v>0.27</v>
      </c>
      <c r="I27" s="38">
        <v>0</v>
      </c>
      <c r="J27" s="22">
        <f>C154</f>
        <v>1.3726835964310227</v>
      </c>
      <c r="K27" s="24">
        <f t="shared" si="14"/>
        <v>393.39000000000004</v>
      </c>
      <c r="L27" s="33">
        <f>(K27-G27)/G27</f>
        <v>-0.23420080000000001</v>
      </c>
      <c r="M27" s="28">
        <f t="shared" si="13"/>
        <v>-120.30863013698632</v>
      </c>
      <c r="N27" s="29">
        <v>0.44</v>
      </c>
      <c r="O27" s="30">
        <f t="shared" ref="O27:O36" si="17">(N27+I27)*0.5</f>
        <v>0.22</v>
      </c>
      <c r="P27" s="32">
        <f t="shared" si="16"/>
        <v>-0.155</v>
      </c>
    </row>
    <row r="28" spans="1:16" x14ac:dyDescent="0.2">
      <c r="A28" s="20" t="s">
        <v>62</v>
      </c>
      <c r="B28" s="20" t="s">
        <v>63</v>
      </c>
      <c r="C28" s="21">
        <v>44396</v>
      </c>
      <c r="D28" s="20">
        <v>66</v>
      </c>
      <c r="E28" s="22">
        <v>1.5044</v>
      </c>
      <c r="F28" s="23">
        <v>0.72899999999999998</v>
      </c>
      <c r="G28" s="24">
        <v>0</v>
      </c>
      <c r="H28" s="35">
        <f>'[1]auto data'!J18</f>
        <v>0.62</v>
      </c>
      <c r="I28" s="38">
        <v>0</v>
      </c>
      <c r="J28" s="22">
        <f>C154</f>
        <v>1.3726835964310227</v>
      </c>
      <c r="K28" s="24">
        <f t="shared" si="14"/>
        <v>29.810220000000001</v>
      </c>
      <c r="L28" s="39" t="s">
        <v>64</v>
      </c>
      <c r="M28" s="28">
        <f t="shared" si="13"/>
        <v>29.810220000000001</v>
      </c>
      <c r="N28" s="29">
        <v>0.8</v>
      </c>
      <c r="O28" s="30">
        <f t="shared" si="17"/>
        <v>0.4</v>
      </c>
      <c r="P28" s="32">
        <f t="shared" si="16"/>
        <v>-0.32899999999999996</v>
      </c>
    </row>
    <row r="29" spans="1:16" x14ac:dyDescent="0.2">
      <c r="A29" s="20" t="s">
        <v>65</v>
      </c>
      <c r="B29" s="20" t="s">
        <v>66</v>
      </c>
      <c r="C29" s="21">
        <v>44438</v>
      </c>
      <c r="D29" s="20">
        <v>5000</v>
      </c>
      <c r="E29" s="22">
        <v>1.4879</v>
      </c>
      <c r="F29" s="40">
        <v>6.5000000000000002E-2</v>
      </c>
      <c r="G29" s="24">
        <f t="shared" ref="G29:G37" si="18">(F29*D29)/E29</f>
        <v>218.4286578399086</v>
      </c>
      <c r="H29" s="41">
        <f>'[1]auto data'!J37</f>
        <v>0.05</v>
      </c>
      <c r="I29" s="38">
        <v>0</v>
      </c>
      <c r="J29" s="22">
        <f>C154</f>
        <v>1.3726835964310227</v>
      </c>
      <c r="K29" s="24">
        <f t="shared" si="14"/>
        <v>182.125</v>
      </c>
      <c r="L29" s="33">
        <f t="shared" ref="L29:L37" si="19">(K29-G29)/G29</f>
        <v>-0.16620373076923076</v>
      </c>
      <c r="M29" s="28">
        <f t="shared" si="13"/>
        <v>-36.303657839908595</v>
      </c>
      <c r="N29" s="29">
        <v>6.5000000000000002E-2</v>
      </c>
      <c r="O29" s="30">
        <f t="shared" si="17"/>
        <v>3.2500000000000001E-2</v>
      </c>
      <c r="P29" s="32">
        <f t="shared" si="16"/>
        <v>-3.2500000000000001E-2</v>
      </c>
    </row>
    <row r="30" spans="1:16" x14ac:dyDescent="0.2">
      <c r="A30" s="34" t="s">
        <v>67</v>
      </c>
      <c r="B30" s="20" t="s">
        <v>68</v>
      </c>
      <c r="C30" s="21">
        <v>44498</v>
      </c>
      <c r="D30" s="20">
        <v>600</v>
      </c>
      <c r="E30" s="22">
        <v>1.43</v>
      </c>
      <c r="F30" s="40">
        <v>1.34</v>
      </c>
      <c r="G30" s="24">
        <f t="shared" si="18"/>
        <v>562.23776223776224</v>
      </c>
      <c r="H30" s="41">
        <f>'[1]auto data'!J39</f>
        <v>0.89</v>
      </c>
      <c r="I30" s="38">
        <v>0</v>
      </c>
      <c r="J30" s="22">
        <f>C154</f>
        <v>1.3726835964310227</v>
      </c>
      <c r="K30" s="24">
        <f t="shared" si="14"/>
        <v>389.01900000000001</v>
      </c>
      <c r="L30" s="33">
        <f t="shared" si="19"/>
        <v>-0.30808809701492534</v>
      </c>
      <c r="M30" s="28">
        <f t="shared" si="13"/>
        <v>-173.21876223776223</v>
      </c>
      <c r="N30" s="29">
        <v>1.5</v>
      </c>
      <c r="O30" s="30">
        <f t="shared" si="17"/>
        <v>0.75</v>
      </c>
      <c r="P30" s="32">
        <f t="shared" si="16"/>
        <v>-0.59000000000000008</v>
      </c>
    </row>
    <row r="31" spans="1:16" x14ac:dyDescent="0.2">
      <c r="A31" s="34" t="s">
        <v>69</v>
      </c>
      <c r="B31" s="20" t="s">
        <v>70</v>
      </c>
      <c r="C31" s="21">
        <v>44517</v>
      </c>
      <c r="D31" s="20">
        <v>2000</v>
      </c>
      <c r="E31" s="22">
        <v>1.4269000000000001</v>
      </c>
      <c r="F31" s="40">
        <v>0.25800000000000001</v>
      </c>
      <c r="G31" s="24">
        <f t="shared" si="18"/>
        <v>361.62309902586026</v>
      </c>
      <c r="H31" s="41">
        <f>'[1]auto data'!J43</f>
        <v>0.17499999999999999</v>
      </c>
      <c r="I31" s="38">
        <v>0</v>
      </c>
      <c r="J31" s="22">
        <f>C154</f>
        <v>1.3726835964310227</v>
      </c>
      <c r="K31" s="24">
        <f t="shared" si="14"/>
        <v>254.97499999999999</v>
      </c>
      <c r="L31" s="33">
        <f t="shared" si="19"/>
        <v>-0.29491506298449616</v>
      </c>
      <c r="M31" s="28">
        <f t="shared" si="13"/>
        <v>-106.64809902586026</v>
      </c>
      <c r="N31" s="29">
        <v>0.27500000000000002</v>
      </c>
      <c r="O31" s="30">
        <f t="shared" si="17"/>
        <v>0.13750000000000001</v>
      </c>
      <c r="P31" s="32">
        <f t="shared" si="16"/>
        <v>-0.1205</v>
      </c>
    </row>
    <row r="32" spans="1:16" x14ac:dyDescent="0.2">
      <c r="A32" s="20" t="s">
        <v>71</v>
      </c>
      <c r="B32" s="20" t="s">
        <v>72</v>
      </c>
      <c r="C32" s="21">
        <v>44621</v>
      </c>
      <c r="D32" s="20">
        <v>400</v>
      </c>
      <c r="E32" s="22">
        <v>1.4169</v>
      </c>
      <c r="F32" s="40">
        <v>0.97</v>
      </c>
      <c r="G32" s="24">
        <f t="shared" si="18"/>
        <v>273.83725033523888</v>
      </c>
      <c r="H32" s="41">
        <f>'[1]auto data'!W24</f>
        <v>1.19</v>
      </c>
      <c r="I32" s="38">
        <v>0</v>
      </c>
      <c r="J32" s="22">
        <f>C154</f>
        <v>1.3726835964310227</v>
      </c>
      <c r="K32" s="24">
        <f t="shared" si="14"/>
        <v>346.76600000000002</v>
      </c>
      <c r="L32" s="27">
        <f t="shared" si="19"/>
        <v>0.26632150876288679</v>
      </c>
      <c r="M32" s="28">
        <f t="shared" si="13"/>
        <v>72.928749664761142</v>
      </c>
      <c r="N32" s="29">
        <v>1.1200000000000001</v>
      </c>
      <c r="O32" s="30">
        <f t="shared" si="17"/>
        <v>0.56000000000000005</v>
      </c>
      <c r="P32" s="32">
        <f t="shared" si="16"/>
        <v>-0.40999999999999992</v>
      </c>
    </row>
    <row r="33" spans="1:16" x14ac:dyDescent="0.2">
      <c r="A33" s="20" t="s">
        <v>73</v>
      </c>
      <c r="B33" s="20" t="s">
        <v>74</v>
      </c>
      <c r="C33" s="21">
        <v>44628</v>
      </c>
      <c r="D33" s="20">
        <v>250</v>
      </c>
      <c r="E33" s="22">
        <v>1.4056999999999999</v>
      </c>
      <c r="F33" s="40">
        <v>1.25</v>
      </c>
      <c r="G33" s="24">
        <f t="shared" si="18"/>
        <v>222.30916980863628</v>
      </c>
      <c r="H33" s="41">
        <f>'[1]auto data'!W21</f>
        <v>1.1100000000000001</v>
      </c>
      <c r="I33" s="38">
        <v>0</v>
      </c>
      <c r="J33" s="22">
        <f>C154</f>
        <v>1.3726835964310227</v>
      </c>
      <c r="K33" s="24">
        <f t="shared" si="14"/>
        <v>202.15875000000003</v>
      </c>
      <c r="L33" s="33">
        <f t="shared" si="19"/>
        <v>-9.0641424399999948E-2</v>
      </c>
      <c r="M33" s="28">
        <f t="shared" si="13"/>
        <v>-20.150419808636258</v>
      </c>
      <c r="N33" s="29">
        <v>1.25</v>
      </c>
      <c r="O33" s="30">
        <f t="shared" si="17"/>
        <v>0.625</v>
      </c>
      <c r="P33" s="32">
        <f t="shared" si="16"/>
        <v>-0.625</v>
      </c>
    </row>
    <row r="34" spans="1:16" x14ac:dyDescent="0.2">
      <c r="A34" s="20" t="s">
        <v>75</v>
      </c>
      <c r="B34" s="20" t="s">
        <v>76</v>
      </c>
      <c r="C34" s="21">
        <v>44628</v>
      </c>
      <c r="D34" s="20">
        <v>250</v>
      </c>
      <c r="E34" s="22">
        <v>1.0908</v>
      </c>
      <c r="F34" s="40">
        <v>0.93500000000000005</v>
      </c>
      <c r="G34" s="24">
        <f t="shared" si="18"/>
        <v>214.29226255958929</v>
      </c>
      <c r="H34" s="41">
        <f>'[1]auto data'!W25</f>
        <v>0.76500000000000001</v>
      </c>
      <c r="I34" s="38">
        <v>0</v>
      </c>
      <c r="J34" s="22">
        <f>C153</f>
        <v>1.0795638562020944</v>
      </c>
      <c r="K34" s="24">
        <f t="shared" si="14"/>
        <v>177.15487499999998</v>
      </c>
      <c r="L34" s="33">
        <f t="shared" si="19"/>
        <v>-0.17330251272727282</v>
      </c>
      <c r="M34" s="28">
        <f t="shared" si="13"/>
        <v>-37.137387559589314</v>
      </c>
      <c r="N34" s="29">
        <v>0.93500000000000005</v>
      </c>
      <c r="O34" s="30">
        <f t="shared" si="17"/>
        <v>0.46750000000000003</v>
      </c>
      <c r="P34" s="32">
        <f t="shared" si="16"/>
        <v>-0.46750000000000003</v>
      </c>
    </row>
    <row r="35" spans="1:16" x14ac:dyDescent="0.2">
      <c r="A35" s="34" t="s">
        <v>77</v>
      </c>
      <c r="B35" s="20" t="s">
        <v>78</v>
      </c>
      <c r="C35" s="21">
        <v>44635</v>
      </c>
      <c r="D35" s="20">
        <v>200</v>
      </c>
      <c r="E35" s="22">
        <v>1.3988</v>
      </c>
      <c r="F35" s="40">
        <v>2.5449999999999999</v>
      </c>
      <c r="G35" s="24">
        <f t="shared" si="18"/>
        <v>363.88332856734343</v>
      </c>
      <c r="H35" s="41">
        <f>'[1]auto data'!J44</f>
        <v>2.27</v>
      </c>
      <c r="I35" s="38">
        <v>0</v>
      </c>
      <c r="J35" s="22">
        <f>C154</f>
        <v>1.3726835964310227</v>
      </c>
      <c r="K35" s="24">
        <f t="shared" si="14"/>
        <v>330.73899999999998</v>
      </c>
      <c r="L35" s="33">
        <f t="shared" si="19"/>
        <v>-9.1085042829076659E-2</v>
      </c>
      <c r="M35" s="28">
        <f t="shared" si="13"/>
        <v>-33.14432856734345</v>
      </c>
      <c r="N35" s="29">
        <v>2.77</v>
      </c>
      <c r="O35" s="30">
        <f t="shared" si="17"/>
        <v>1.385</v>
      </c>
      <c r="P35" s="32">
        <f t="shared" si="16"/>
        <v>-1.1599999999999999</v>
      </c>
    </row>
    <row r="36" spans="1:16" x14ac:dyDescent="0.2">
      <c r="A36" s="20" t="s">
        <v>79</v>
      </c>
      <c r="B36" s="20" t="s">
        <v>80</v>
      </c>
      <c r="C36" s="21">
        <v>44651</v>
      </c>
      <c r="D36" s="20">
        <v>1000</v>
      </c>
      <c r="E36" s="22">
        <v>1.3841000000000001</v>
      </c>
      <c r="F36" s="40">
        <v>0.45</v>
      </c>
      <c r="G36" s="24">
        <f t="shared" si="18"/>
        <v>325.12101726753843</v>
      </c>
      <c r="H36" s="41">
        <f>'[1]auto data'!J45</f>
        <v>0.41499999999999998</v>
      </c>
      <c r="I36" s="38">
        <v>0</v>
      </c>
      <c r="J36" s="22">
        <f>C154</f>
        <v>1.3726835964310227</v>
      </c>
      <c r="K36" s="24">
        <f t="shared" si="14"/>
        <v>302.32749999999999</v>
      </c>
      <c r="L36" s="33">
        <f t="shared" si="19"/>
        <v>-7.0107793888888825E-2</v>
      </c>
      <c r="M36" s="28">
        <f t="shared" si="13"/>
        <v>-22.793517267538448</v>
      </c>
      <c r="N36" s="29">
        <v>0.45</v>
      </c>
      <c r="O36" s="30">
        <f t="shared" si="17"/>
        <v>0.22500000000000001</v>
      </c>
      <c r="P36" s="32">
        <f t="shared" si="16"/>
        <v>-0.22500000000000001</v>
      </c>
    </row>
    <row r="37" spans="1:16" x14ac:dyDescent="0.2">
      <c r="A37" s="20" t="s">
        <v>81</v>
      </c>
      <c r="B37" s="20" t="s">
        <v>82</v>
      </c>
      <c r="C37" s="21">
        <v>44657</v>
      </c>
      <c r="D37" s="20">
        <v>250</v>
      </c>
      <c r="E37" s="22">
        <v>1.3648</v>
      </c>
      <c r="F37" s="40">
        <v>1.75</v>
      </c>
      <c r="G37" s="24">
        <f t="shared" si="18"/>
        <v>320.55978898007032</v>
      </c>
      <c r="H37" s="41">
        <f>'[1]auto data'!J46</f>
        <v>1.7</v>
      </c>
      <c r="I37" s="38">
        <v>0</v>
      </c>
      <c r="J37" s="22">
        <f>C154</f>
        <v>1.3726835964310227</v>
      </c>
      <c r="K37" s="24">
        <f t="shared" si="14"/>
        <v>309.61250000000001</v>
      </c>
      <c r="L37" s="33">
        <f t="shared" si="19"/>
        <v>-3.4150537142857054E-2</v>
      </c>
      <c r="M37" s="28">
        <f t="shared" si="13"/>
        <v>-10.947288980070311</v>
      </c>
      <c r="N37" s="29">
        <v>1.76</v>
      </c>
      <c r="O37" s="30">
        <f>(N37+I37)*0.5</f>
        <v>0.88</v>
      </c>
      <c r="P37" s="32">
        <f t="shared" si="16"/>
        <v>-0.87</v>
      </c>
    </row>
    <row r="38" spans="1:16" x14ac:dyDescent="0.2">
      <c r="A38" s="2" t="s">
        <v>83</v>
      </c>
      <c r="B38" s="3"/>
      <c r="C38" s="3"/>
      <c r="D38" s="3"/>
      <c r="E38" s="3"/>
      <c r="F38" s="4"/>
      <c r="G38" s="5"/>
      <c r="H38" s="6"/>
      <c r="I38" s="6"/>
      <c r="J38" s="6"/>
      <c r="K38" s="7"/>
      <c r="L38" s="8" t="s">
        <v>1</v>
      </c>
      <c r="M38" s="9">
        <f>SUM(K40:K45)</f>
        <v>16677.282449999999</v>
      </c>
      <c r="N38" s="10"/>
      <c r="O38" s="11"/>
      <c r="P38" s="12">
        <f>M38/P158</f>
        <v>0.24097000461728943</v>
      </c>
    </row>
    <row r="39" spans="1:16" x14ac:dyDescent="0.2">
      <c r="A39" s="13" t="s">
        <v>2</v>
      </c>
      <c r="B39" s="13" t="s">
        <v>3</v>
      </c>
      <c r="C39" s="14" t="s">
        <v>4</v>
      </c>
      <c r="D39" s="13" t="s">
        <v>5</v>
      </c>
      <c r="E39" s="15" t="s">
        <v>6</v>
      </c>
      <c r="F39" s="13" t="s">
        <v>7</v>
      </c>
      <c r="G39" s="13" t="s">
        <v>8</v>
      </c>
      <c r="H39" s="16" t="s">
        <v>9</v>
      </c>
      <c r="I39" s="13" t="s">
        <v>10</v>
      </c>
      <c r="J39" s="15" t="s">
        <v>11</v>
      </c>
      <c r="K39" s="13" t="s">
        <v>12</v>
      </c>
      <c r="L39" s="13" t="s">
        <v>13</v>
      </c>
      <c r="M39" s="17" t="s">
        <v>14</v>
      </c>
      <c r="N39" s="18" t="s">
        <v>15</v>
      </c>
      <c r="O39" s="19" t="s">
        <v>16</v>
      </c>
      <c r="P39" s="17" t="s">
        <v>17</v>
      </c>
    </row>
    <row r="40" spans="1:16" x14ac:dyDescent="0.2">
      <c r="A40" s="20" t="s">
        <v>84</v>
      </c>
      <c r="B40" s="20" t="s">
        <v>85</v>
      </c>
      <c r="C40" s="21">
        <v>43906</v>
      </c>
      <c r="D40" s="20">
        <v>900</v>
      </c>
      <c r="E40" s="22">
        <v>1.1200000000000001</v>
      </c>
      <c r="F40" s="23">
        <v>2.5</v>
      </c>
      <c r="G40" s="24">
        <f t="shared" si="0"/>
        <v>2008.9285714285713</v>
      </c>
      <c r="H40" s="42">
        <f>'[1]auto data'!G3</f>
        <v>3.98</v>
      </c>
      <c r="I40" s="26">
        <f>[1]Dividend!P4</f>
        <v>0.80999999999999994</v>
      </c>
      <c r="J40" s="22">
        <f>C153</f>
        <v>1.0795638562020944</v>
      </c>
      <c r="K40" s="24">
        <f t="shared" ref="K40:K45" si="20">((H40+I40)/J40)*D40</f>
        <v>3993.2792999999997</v>
      </c>
      <c r="L40" s="27">
        <f t="shared" ref="L40:L45" si="21">(K40-G40)/G40</f>
        <v>0.98776569599999997</v>
      </c>
      <c r="M40" s="28">
        <f t="shared" si="10"/>
        <v>1984.3507285714284</v>
      </c>
      <c r="N40" s="29">
        <v>4.25</v>
      </c>
      <c r="O40" s="30">
        <f t="shared" ref="O40:O44" si="22">(N40+I40)*0.75</f>
        <v>3.7949999999999999</v>
      </c>
      <c r="P40" s="31">
        <f t="shared" ref="P40:P45" si="23">O40-F40</f>
        <v>1.2949999999999999</v>
      </c>
    </row>
    <row r="41" spans="1:16" x14ac:dyDescent="0.2">
      <c r="A41" s="20" t="s">
        <v>86</v>
      </c>
      <c r="B41" s="20" t="s">
        <v>87</v>
      </c>
      <c r="C41" s="21">
        <v>44103</v>
      </c>
      <c r="D41" s="20">
        <v>750</v>
      </c>
      <c r="E41" s="22">
        <v>1.175</v>
      </c>
      <c r="F41" s="23">
        <v>5.03</v>
      </c>
      <c r="G41" s="24">
        <f t="shared" si="0"/>
        <v>3210.6382978723404</v>
      </c>
      <c r="H41" s="42">
        <f>'[1]auto data'!G4</f>
        <v>5.56</v>
      </c>
      <c r="I41" s="26">
        <f>[1]Dividend!P5</f>
        <v>0.6</v>
      </c>
      <c r="J41" s="22">
        <f>C153</f>
        <v>1.0795638562020944</v>
      </c>
      <c r="K41" s="24">
        <f t="shared" si="20"/>
        <v>4279.5059999999994</v>
      </c>
      <c r="L41" s="27">
        <f t="shared" si="21"/>
        <v>0.33291439363817077</v>
      </c>
      <c r="M41" s="28">
        <f t="shared" si="10"/>
        <v>1068.867702127659</v>
      </c>
      <c r="N41" s="43">
        <v>5.95</v>
      </c>
      <c r="O41" s="30">
        <f t="shared" si="22"/>
        <v>4.9124999999999996</v>
      </c>
      <c r="P41" s="32">
        <f t="shared" si="23"/>
        <v>-0.1175000000000006</v>
      </c>
    </row>
    <row r="42" spans="1:16" x14ac:dyDescent="0.2">
      <c r="A42" s="20" t="s">
        <v>88</v>
      </c>
      <c r="B42" s="20" t="s">
        <v>89</v>
      </c>
      <c r="C42" s="21">
        <v>44137</v>
      </c>
      <c r="D42" s="20">
        <v>30</v>
      </c>
      <c r="E42" s="22">
        <v>1.1639999999999999</v>
      </c>
      <c r="F42" s="23">
        <v>36.47</v>
      </c>
      <c r="G42" s="24">
        <f t="shared" si="0"/>
        <v>939.94845360824741</v>
      </c>
      <c r="H42" s="42">
        <f>'[1]auto data'!G5</f>
        <v>55.53</v>
      </c>
      <c r="I42" s="26">
        <f>[1]Dividend!P6</f>
        <v>5.28</v>
      </c>
      <c r="J42" s="22">
        <f>C153</f>
        <v>1.0795638562020944</v>
      </c>
      <c r="K42" s="24">
        <f t="shared" si="20"/>
        <v>1689.8490899999999</v>
      </c>
      <c r="L42" s="27">
        <f t="shared" si="21"/>
        <v>0.79781038365780088</v>
      </c>
      <c r="M42" s="28">
        <f t="shared" si="10"/>
        <v>749.90063639175253</v>
      </c>
      <c r="N42" s="29">
        <v>55.37</v>
      </c>
      <c r="O42" s="30">
        <f t="shared" si="22"/>
        <v>45.487499999999997</v>
      </c>
      <c r="P42" s="31">
        <f t="shared" si="23"/>
        <v>9.0174999999999983</v>
      </c>
    </row>
    <row r="43" spans="1:16" x14ac:dyDescent="0.2">
      <c r="A43" s="20" t="s">
        <v>90</v>
      </c>
      <c r="B43" s="20" t="s">
        <v>91</v>
      </c>
      <c r="C43" s="21">
        <v>44165</v>
      </c>
      <c r="D43" s="20">
        <v>100</v>
      </c>
      <c r="E43" s="22">
        <v>1.1944999999999999</v>
      </c>
      <c r="F43" s="23">
        <v>33.25</v>
      </c>
      <c r="G43" s="24">
        <f t="shared" si="0"/>
        <v>2783.5914608622857</v>
      </c>
      <c r="H43" s="42">
        <f>'[1]auto data'!G6</f>
        <v>34.06</v>
      </c>
      <c r="I43" s="26">
        <f>[1]Dividend!P7</f>
        <v>3.16</v>
      </c>
      <c r="J43" s="22">
        <f>C153</f>
        <v>1.0795638562020944</v>
      </c>
      <c r="K43" s="24">
        <f t="shared" si="20"/>
        <v>3447.6886</v>
      </c>
      <c r="L43" s="27">
        <f t="shared" si="21"/>
        <v>0.23857564893233074</v>
      </c>
      <c r="M43" s="28">
        <f t="shared" si="10"/>
        <v>664.09713913771429</v>
      </c>
      <c r="N43" s="43">
        <v>36.119999999999997</v>
      </c>
      <c r="O43" s="30">
        <f t="shared" si="22"/>
        <v>29.46</v>
      </c>
      <c r="P43" s="32">
        <f t="shared" si="23"/>
        <v>-3.7899999999999991</v>
      </c>
    </row>
    <row r="44" spans="1:16" x14ac:dyDescent="0.2">
      <c r="A44" s="20" t="s">
        <v>92</v>
      </c>
      <c r="B44" s="20" t="s">
        <v>93</v>
      </c>
      <c r="C44" s="21">
        <v>44403</v>
      </c>
      <c r="D44" s="20">
        <v>100</v>
      </c>
      <c r="E44" s="22">
        <v>1</v>
      </c>
      <c r="F44" s="23">
        <v>16.3</v>
      </c>
      <c r="G44" s="24">
        <f t="shared" si="0"/>
        <v>1630</v>
      </c>
      <c r="H44" s="42">
        <f>'[1]auto data'!G7</f>
        <v>26.074999999999999</v>
      </c>
      <c r="I44" s="26">
        <f>[1]Dividend!P9</f>
        <v>0.72</v>
      </c>
      <c r="J44" s="22">
        <v>1</v>
      </c>
      <c r="K44" s="24">
        <f t="shared" si="20"/>
        <v>2679.5</v>
      </c>
      <c r="L44" s="27">
        <f t="shared" si="21"/>
        <v>0.64386503067484657</v>
      </c>
      <c r="M44" s="28">
        <f t="shared" si="10"/>
        <v>1049.5</v>
      </c>
      <c r="N44" s="43">
        <v>26.5</v>
      </c>
      <c r="O44" s="30">
        <f t="shared" si="22"/>
        <v>20.414999999999999</v>
      </c>
      <c r="P44" s="31">
        <f t="shared" si="23"/>
        <v>4.1149999999999984</v>
      </c>
    </row>
    <row r="45" spans="1:16" x14ac:dyDescent="0.2">
      <c r="A45" s="20" t="s">
        <v>94</v>
      </c>
      <c r="B45" s="20" t="s">
        <v>95</v>
      </c>
      <c r="C45" s="21">
        <v>44648</v>
      </c>
      <c r="D45" s="20">
        <v>12</v>
      </c>
      <c r="E45" s="22">
        <v>1.0988</v>
      </c>
      <c r="F45" s="23">
        <v>51.5</v>
      </c>
      <c r="G45" s="24">
        <f t="shared" si="0"/>
        <v>562.43174372042233</v>
      </c>
      <c r="H45" s="42">
        <f>'[1]auto data'!G8</f>
        <v>52.85</v>
      </c>
      <c r="I45" s="26">
        <v>0</v>
      </c>
      <c r="J45" s="22">
        <f>C153</f>
        <v>1.0795638562020944</v>
      </c>
      <c r="K45" s="24">
        <f t="shared" si="20"/>
        <v>587.45946000000004</v>
      </c>
      <c r="L45" s="27">
        <f t="shared" si="21"/>
        <v>4.449911755339802E-2</v>
      </c>
      <c r="M45" s="28">
        <f t="shared" si="10"/>
        <v>25.027716279577703</v>
      </c>
      <c r="N45" s="43">
        <v>53.8</v>
      </c>
      <c r="O45" s="30">
        <f>(N45+I45)*0.75</f>
        <v>40.349999999999994</v>
      </c>
      <c r="P45" s="32">
        <f t="shared" si="23"/>
        <v>-11.150000000000006</v>
      </c>
    </row>
    <row r="46" spans="1:16" x14ac:dyDescent="0.2">
      <c r="A46" s="2" t="s">
        <v>96</v>
      </c>
      <c r="B46" s="3"/>
      <c r="C46" s="3"/>
      <c r="D46" s="3"/>
      <c r="E46" s="3"/>
      <c r="F46" s="4"/>
      <c r="G46" s="44"/>
      <c r="H46" s="45"/>
      <c r="I46" s="45"/>
      <c r="J46" s="45"/>
      <c r="K46" s="46"/>
      <c r="L46" s="8" t="s">
        <v>1</v>
      </c>
      <c r="M46" s="9">
        <f>SUM(K48:K61)</f>
        <v>4333.8142899999984</v>
      </c>
      <c r="N46" s="10"/>
      <c r="O46" s="11"/>
      <c r="P46" s="12">
        <f>M46/P158</f>
        <v>6.2619269812257378E-2</v>
      </c>
    </row>
    <row r="47" spans="1:16" x14ac:dyDescent="0.2">
      <c r="A47" s="13" t="s">
        <v>2</v>
      </c>
      <c r="B47" s="13" t="s">
        <v>3</v>
      </c>
      <c r="C47" s="14" t="s">
        <v>4</v>
      </c>
      <c r="D47" s="13" t="s">
        <v>5</v>
      </c>
      <c r="E47" s="15" t="s">
        <v>6</v>
      </c>
      <c r="F47" s="13" t="s">
        <v>7</v>
      </c>
      <c r="G47" s="13" t="s">
        <v>8</v>
      </c>
      <c r="H47" s="16" t="s">
        <v>9</v>
      </c>
      <c r="I47" s="13" t="s">
        <v>10</v>
      </c>
      <c r="J47" s="15" t="s">
        <v>11</v>
      </c>
      <c r="K47" s="13" t="s">
        <v>12</v>
      </c>
      <c r="L47" s="13" t="s">
        <v>13</v>
      </c>
      <c r="M47" s="17" t="s">
        <v>14</v>
      </c>
      <c r="N47" s="18" t="s">
        <v>15</v>
      </c>
      <c r="O47" s="19" t="s">
        <v>16</v>
      </c>
      <c r="P47" s="17" t="s">
        <v>17</v>
      </c>
    </row>
    <row r="48" spans="1:16" x14ac:dyDescent="0.2">
      <c r="A48" s="20" t="s">
        <v>97</v>
      </c>
      <c r="B48" s="20" t="s">
        <v>98</v>
      </c>
      <c r="C48" s="21">
        <v>44285</v>
      </c>
      <c r="D48" s="20">
        <v>300</v>
      </c>
      <c r="E48" s="22">
        <v>1.48</v>
      </c>
      <c r="F48" s="23">
        <v>1.115</v>
      </c>
      <c r="G48" s="24">
        <f t="shared" si="0"/>
        <v>226.01351351351352</v>
      </c>
      <c r="H48" s="47">
        <f>'[1]auto data'!M8</f>
        <v>1.605</v>
      </c>
      <c r="I48" s="20">
        <v>0</v>
      </c>
      <c r="J48" s="22">
        <f>C154</f>
        <v>1.3726835964310227</v>
      </c>
      <c r="K48" s="24">
        <f t="shared" ref="K48:K61" si="24">((H48+I48)/J48)*D48</f>
        <v>350.77274999999997</v>
      </c>
      <c r="L48" s="27">
        <f t="shared" ref="L48:L61" si="25">(K48-G48)/G48</f>
        <v>0.55199901345291469</v>
      </c>
      <c r="M48" s="28">
        <f t="shared" ref="M48:M61" si="26">K48-G48</f>
        <v>124.75923648648646</v>
      </c>
      <c r="N48" s="29">
        <v>2</v>
      </c>
      <c r="O48" s="30">
        <f t="shared" ref="O48:O61" si="27">(N48+I48)*0.5</f>
        <v>1</v>
      </c>
      <c r="P48" s="32">
        <f t="shared" ref="P48:P61" si="28">O48-F48</f>
        <v>-0.11499999999999999</v>
      </c>
    </row>
    <row r="49" spans="1:16" x14ac:dyDescent="0.2">
      <c r="A49" s="20" t="s">
        <v>99</v>
      </c>
      <c r="B49" s="20" t="s">
        <v>100</v>
      </c>
      <c r="C49" s="21">
        <v>44354</v>
      </c>
      <c r="D49" s="20">
        <v>1000</v>
      </c>
      <c r="E49" s="22">
        <v>1.4515</v>
      </c>
      <c r="F49" s="23">
        <v>0.38750000000000001</v>
      </c>
      <c r="G49" s="24">
        <f t="shared" si="0"/>
        <v>266.96520840509817</v>
      </c>
      <c r="H49" s="47">
        <f>'[1]auto data'!M13</f>
        <v>0.34</v>
      </c>
      <c r="I49" s="20">
        <v>0</v>
      </c>
      <c r="J49" s="22">
        <f>C154</f>
        <v>1.3726835964310227</v>
      </c>
      <c r="K49" s="24">
        <f t="shared" si="24"/>
        <v>247.69000000000003</v>
      </c>
      <c r="L49" s="33">
        <f t="shared" si="25"/>
        <v>-7.2201199999999882E-2</v>
      </c>
      <c r="M49" s="28">
        <f t="shared" si="26"/>
        <v>-19.275208405098141</v>
      </c>
      <c r="N49" s="29">
        <v>0.52</v>
      </c>
      <c r="O49" s="30">
        <f t="shared" si="27"/>
        <v>0.26</v>
      </c>
      <c r="P49" s="32">
        <f t="shared" si="28"/>
        <v>-0.1275</v>
      </c>
    </row>
    <row r="50" spans="1:16" x14ac:dyDescent="0.2">
      <c r="A50" s="20" t="s">
        <v>101</v>
      </c>
      <c r="B50" s="20" t="s">
        <v>102</v>
      </c>
      <c r="C50" s="21">
        <v>44459</v>
      </c>
      <c r="D50" s="20">
        <v>400</v>
      </c>
      <c r="E50" s="22">
        <v>1.4643999999999999</v>
      </c>
      <c r="F50" s="23">
        <v>0.82</v>
      </c>
      <c r="G50" s="24">
        <f t="shared" si="0"/>
        <v>223.98251843758538</v>
      </c>
      <c r="H50" s="47">
        <f>'[1]auto data'!M9</f>
        <v>0.97</v>
      </c>
      <c r="I50" s="20">
        <v>0</v>
      </c>
      <c r="J50" s="22">
        <f>C154</f>
        <v>1.3726835964310227</v>
      </c>
      <c r="K50" s="24">
        <f t="shared" si="24"/>
        <v>282.65800000000002</v>
      </c>
      <c r="L50" s="48">
        <f t="shared" si="25"/>
        <v>0.26196455853658529</v>
      </c>
      <c r="M50" s="28">
        <f t="shared" si="26"/>
        <v>58.675481562414632</v>
      </c>
      <c r="N50" s="29">
        <v>1.1499999999999999</v>
      </c>
      <c r="O50" s="30">
        <f t="shared" si="27"/>
        <v>0.57499999999999996</v>
      </c>
      <c r="P50" s="32">
        <f t="shared" si="28"/>
        <v>-0.245</v>
      </c>
    </row>
    <row r="51" spans="1:16" x14ac:dyDescent="0.2">
      <c r="A51" s="20" t="s">
        <v>103</v>
      </c>
      <c r="B51" s="20" t="s">
        <v>104</v>
      </c>
      <c r="C51" s="21">
        <v>44466</v>
      </c>
      <c r="D51" s="20">
        <v>800</v>
      </c>
      <c r="E51" s="22">
        <v>1.4795</v>
      </c>
      <c r="F51" s="23">
        <v>0.48</v>
      </c>
      <c r="G51" s="24">
        <f t="shared" si="0"/>
        <v>259.5471443055086</v>
      </c>
      <c r="H51" s="47">
        <f>'[1]auto data'!M11</f>
        <v>0.56999999999999995</v>
      </c>
      <c r="I51" s="20">
        <v>0</v>
      </c>
      <c r="J51" s="22">
        <f>C154</f>
        <v>1.3726835964310227</v>
      </c>
      <c r="K51" s="24">
        <f t="shared" si="24"/>
        <v>332.19599999999997</v>
      </c>
      <c r="L51" s="27">
        <f t="shared" si="25"/>
        <v>0.27990620312499997</v>
      </c>
      <c r="M51" s="28">
        <f t="shared" si="26"/>
        <v>72.648855694491374</v>
      </c>
      <c r="N51" s="29">
        <v>0.8</v>
      </c>
      <c r="O51" s="30">
        <f t="shared" si="27"/>
        <v>0.4</v>
      </c>
      <c r="P51" s="32">
        <f t="shared" si="28"/>
        <v>-7.999999999999996E-2</v>
      </c>
    </row>
    <row r="52" spans="1:16" x14ac:dyDescent="0.2">
      <c r="A52" s="20" t="s">
        <v>105</v>
      </c>
      <c r="B52" s="20" t="s">
        <v>106</v>
      </c>
      <c r="C52" s="21">
        <v>44469</v>
      </c>
      <c r="D52" s="20">
        <v>540</v>
      </c>
      <c r="E52" s="22">
        <v>1.6037999999999999</v>
      </c>
      <c r="F52" s="23">
        <v>0.95</v>
      </c>
      <c r="G52" s="24">
        <f t="shared" si="0"/>
        <v>319.86531986531986</v>
      </c>
      <c r="H52" s="47">
        <f>'[1]auto data'!M14</f>
        <v>1.01</v>
      </c>
      <c r="I52" s="20">
        <v>0</v>
      </c>
      <c r="J52" s="22">
        <f>C155</f>
        <v>1.4916467780429594</v>
      </c>
      <c r="K52" s="24">
        <f t="shared" si="24"/>
        <v>365.63616000000002</v>
      </c>
      <c r="L52" s="27">
        <f t="shared" si="25"/>
        <v>0.14309410021052638</v>
      </c>
      <c r="M52" s="28">
        <f t="shared" si="26"/>
        <v>45.770840134680157</v>
      </c>
      <c r="N52" s="29">
        <v>1.1399999999999999</v>
      </c>
      <c r="O52" s="30">
        <f t="shared" si="27"/>
        <v>0.56999999999999995</v>
      </c>
      <c r="P52" s="32">
        <f t="shared" si="28"/>
        <v>-0.38</v>
      </c>
    </row>
    <row r="53" spans="1:16" x14ac:dyDescent="0.2">
      <c r="A53" s="20" t="s">
        <v>107</v>
      </c>
      <c r="B53" s="20" t="s">
        <v>108</v>
      </c>
      <c r="C53" s="21">
        <v>44481</v>
      </c>
      <c r="D53" s="20">
        <v>150</v>
      </c>
      <c r="E53" s="22">
        <v>1.4350000000000001</v>
      </c>
      <c r="F53" s="23">
        <v>2.54</v>
      </c>
      <c r="G53" s="24">
        <f t="shared" si="0"/>
        <v>265.5052264808362</v>
      </c>
      <c r="H53" s="47">
        <f>'[1]auto data'!M15</f>
        <v>2.5299999999999998</v>
      </c>
      <c r="I53" s="20">
        <v>0</v>
      </c>
      <c r="J53" s="22">
        <f>C154</f>
        <v>1.3726835964310227</v>
      </c>
      <c r="K53" s="24">
        <f t="shared" si="24"/>
        <v>276.46574999999996</v>
      </c>
      <c r="L53" s="27">
        <f t="shared" si="25"/>
        <v>4.128176181102361E-2</v>
      </c>
      <c r="M53" s="28">
        <f t="shared" si="26"/>
        <v>10.960523519163758</v>
      </c>
      <c r="N53" s="29">
        <v>2.85</v>
      </c>
      <c r="O53" s="30">
        <f t="shared" si="27"/>
        <v>1.425</v>
      </c>
      <c r="P53" s="32">
        <f t="shared" si="28"/>
        <v>-1.115</v>
      </c>
    </row>
    <row r="54" spans="1:16" x14ac:dyDescent="0.2">
      <c r="A54" s="20" t="s">
        <v>109</v>
      </c>
      <c r="B54" s="20" t="s">
        <v>110</v>
      </c>
      <c r="C54" s="21">
        <v>44627</v>
      </c>
      <c r="D54" s="20">
        <v>42</v>
      </c>
      <c r="E54" s="22">
        <v>1.4056999999999999</v>
      </c>
      <c r="F54" s="23">
        <v>0.8</v>
      </c>
      <c r="G54" s="24">
        <f t="shared" si="0"/>
        <v>23.902681937824575</v>
      </c>
      <c r="H54" s="47">
        <v>0.99</v>
      </c>
      <c r="I54" s="20">
        <v>0</v>
      </c>
      <c r="J54" s="22">
        <f>C154</f>
        <v>1.3726835964310227</v>
      </c>
      <c r="K54" s="24">
        <f t="shared" si="24"/>
        <v>30.291029999999999</v>
      </c>
      <c r="L54" s="27">
        <f t="shared" si="25"/>
        <v>0.26726490687499976</v>
      </c>
      <c r="M54" s="28">
        <f t="shared" si="26"/>
        <v>6.3883480621754245</v>
      </c>
      <c r="N54" s="29">
        <v>1.1499999999999999</v>
      </c>
      <c r="O54" s="30">
        <f t="shared" si="27"/>
        <v>0.57499999999999996</v>
      </c>
      <c r="P54" s="32">
        <f t="shared" si="28"/>
        <v>-0.22500000000000009</v>
      </c>
    </row>
    <row r="55" spans="1:16" x14ac:dyDescent="0.2">
      <c r="A55" s="20" t="s">
        <v>111</v>
      </c>
      <c r="B55" s="20" t="s">
        <v>112</v>
      </c>
      <c r="C55" s="21">
        <v>44488</v>
      </c>
      <c r="D55" s="20">
        <v>1000</v>
      </c>
      <c r="E55" s="22">
        <v>1.4415</v>
      </c>
      <c r="F55" s="23">
        <v>0.315</v>
      </c>
      <c r="G55" s="24">
        <f t="shared" si="0"/>
        <v>218.52237252861602</v>
      </c>
      <c r="H55" s="47">
        <f>'[1]auto data'!M16</f>
        <v>0.34499999999999997</v>
      </c>
      <c r="I55" s="20">
        <v>0</v>
      </c>
      <c r="J55" s="22">
        <f>C154</f>
        <v>1.3726835964310227</v>
      </c>
      <c r="K55" s="24">
        <f t="shared" si="24"/>
        <v>251.33249999999995</v>
      </c>
      <c r="L55" s="27">
        <f t="shared" si="25"/>
        <v>0.15014539285714268</v>
      </c>
      <c r="M55" s="28">
        <f t="shared" si="26"/>
        <v>32.810127471383936</v>
      </c>
      <c r="N55" s="29">
        <v>0.41</v>
      </c>
      <c r="O55" s="30">
        <f t="shared" si="27"/>
        <v>0.20499999999999999</v>
      </c>
      <c r="P55" s="32">
        <f t="shared" si="28"/>
        <v>-0.11000000000000001</v>
      </c>
    </row>
    <row r="56" spans="1:16" x14ac:dyDescent="0.2">
      <c r="A56" s="20" t="s">
        <v>113</v>
      </c>
      <c r="B56" s="20" t="s">
        <v>114</v>
      </c>
      <c r="C56" s="21">
        <v>44488</v>
      </c>
      <c r="D56" s="20">
        <v>200</v>
      </c>
      <c r="E56" s="22">
        <v>1.4424999999999999</v>
      </c>
      <c r="F56" s="23">
        <v>2.06</v>
      </c>
      <c r="G56" s="24">
        <f t="shared" si="0"/>
        <v>285.6152512998267</v>
      </c>
      <c r="H56" s="47">
        <f>'[1]auto data'!M17</f>
        <v>1.64</v>
      </c>
      <c r="I56" s="20">
        <v>0</v>
      </c>
      <c r="J56" s="22">
        <f>C154</f>
        <v>1.3726835964310227</v>
      </c>
      <c r="K56" s="24">
        <f t="shared" si="24"/>
        <v>238.94799999999998</v>
      </c>
      <c r="L56" s="33">
        <f t="shared" si="25"/>
        <v>-0.1633920145631069</v>
      </c>
      <c r="M56" s="28">
        <f t="shared" si="26"/>
        <v>-46.667251299826717</v>
      </c>
      <c r="N56" s="29">
        <v>2.91</v>
      </c>
      <c r="O56" s="30">
        <f t="shared" si="27"/>
        <v>1.4550000000000001</v>
      </c>
      <c r="P56" s="32">
        <f t="shared" si="28"/>
        <v>-0.60499999999999998</v>
      </c>
    </row>
    <row r="57" spans="1:16" x14ac:dyDescent="0.2">
      <c r="A57" s="20" t="s">
        <v>115</v>
      </c>
      <c r="B57" s="20" t="s">
        <v>116</v>
      </c>
      <c r="C57" s="21">
        <v>44522</v>
      </c>
      <c r="D57" s="20">
        <v>800</v>
      </c>
      <c r="E57" s="22">
        <v>1.4365000000000001</v>
      </c>
      <c r="F57" s="23">
        <v>0.38</v>
      </c>
      <c r="G57" s="24">
        <f t="shared" si="0"/>
        <v>211.62547859380436</v>
      </c>
      <c r="H57" s="47">
        <f>'[1]auto data'!M18</f>
        <v>0.39250000000000002</v>
      </c>
      <c r="I57" s="20">
        <v>0</v>
      </c>
      <c r="J57" s="22">
        <f>C154</f>
        <v>1.3726835964310227</v>
      </c>
      <c r="K57" s="24">
        <f t="shared" si="24"/>
        <v>228.749</v>
      </c>
      <c r="L57" s="27">
        <f t="shared" si="25"/>
        <v>8.0914271381579056E-2</v>
      </c>
      <c r="M57" s="28">
        <f t="shared" si="26"/>
        <v>17.123521406195636</v>
      </c>
      <c r="N57" s="29">
        <v>0.5</v>
      </c>
      <c r="O57" s="30">
        <f t="shared" si="27"/>
        <v>0.25</v>
      </c>
      <c r="P57" s="32">
        <f t="shared" si="28"/>
        <v>-0.13</v>
      </c>
    </row>
    <row r="58" spans="1:16" x14ac:dyDescent="0.2">
      <c r="A58" s="20" t="s">
        <v>117</v>
      </c>
      <c r="B58" s="20" t="s">
        <v>118</v>
      </c>
      <c r="C58" s="21">
        <v>44522</v>
      </c>
      <c r="D58" s="20">
        <v>400</v>
      </c>
      <c r="E58" s="22">
        <v>1.43</v>
      </c>
      <c r="F58" s="23">
        <v>0.71</v>
      </c>
      <c r="G58" s="24">
        <f t="shared" si="0"/>
        <v>198.60139860139861</v>
      </c>
      <c r="H58" s="47">
        <f>'[1]auto data'!M19</f>
        <v>0.73</v>
      </c>
      <c r="I58" s="20">
        <v>0</v>
      </c>
      <c r="J58" s="22">
        <f>C154</f>
        <v>1.3726835964310227</v>
      </c>
      <c r="K58" s="24">
        <f t="shared" si="24"/>
        <v>212.72199999999998</v>
      </c>
      <c r="L58" s="27">
        <f t="shared" si="25"/>
        <v>7.1100211267605462E-2</v>
      </c>
      <c r="M58" s="28">
        <f t="shared" si="26"/>
        <v>14.120601398601366</v>
      </c>
      <c r="N58" s="29">
        <v>0.87</v>
      </c>
      <c r="O58" s="30">
        <f t="shared" si="27"/>
        <v>0.435</v>
      </c>
      <c r="P58" s="32">
        <f t="shared" si="28"/>
        <v>-0.27499999999999997</v>
      </c>
    </row>
    <row r="59" spans="1:16" x14ac:dyDescent="0.2">
      <c r="A59" s="20" t="s">
        <v>119</v>
      </c>
      <c r="B59" s="20" t="s">
        <v>120</v>
      </c>
      <c r="C59" s="21">
        <v>44672</v>
      </c>
      <c r="D59" s="20">
        <v>100</v>
      </c>
      <c r="E59" s="22">
        <v>1.0837000000000001</v>
      </c>
      <c r="F59" s="23">
        <v>8.67</v>
      </c>
      <c r="G59" s="24">
        <f t="shared" si="0"/>
        <v>800.03691058410993</v>
      </c>
      <c r="H59" s="47">
        <f>'[1]auto data'!M6</f>
        <v>8.19</v>
      </c>
      <c r="I59" s="20">
        <v>0</v>
      </c>
      <c r="J59" s="22">
        <f>C153</f>
        <v>1.0795638562020944</v>
      </c>
      <c r="K59" s="24">
        <f t="shared" si="24"/>
        <v>758.63969999999995</v>
      </c>
      <c r="L59" s="33">
        <f t="shared" si="25"/>
        <v>-5.1744125847750858E-2</v>
      </c>
      <c r="M59" s="28">
        <f t="shared" si="26"/>
        <v>-41.397210584109985</v>
      </c>
      <c r="N59" s="29">
        <v>8.67</v>
      </c>
      <c r="O59" s="30">
        <f t="shared" si="27"/>
        <v>4.335</v>
      </c>
      <c r="P59" s="32">
        <f t="shared" si="28"/>
        <v>-4.335</v>
      </c>
    </row>
    <row r="60" spans="1:16" x14ac:dyDescent="0.2">
      <c r="A60" s="20" t="s">
        <v>121</v>
      </c>
      <c r="B60" s="20" t="s">
        <v>122</v>
      </c>
      <c r="C60" s="21">
        <v>44672</v>
      </c>
      <c r="D60" s="20">
        <v>100</v>
      </c>
      <c r="E60" s="22">
        <v>1.3634999999999999</v>
      </c>
      <c r="F60" s="23">
        <v>4.88</v>
      </c>
      <c r="G60" s="24">
        <f t="shared" si="0"/>
        <v>357.90245691235793</v>
      </c>
      <c r="H60" s="47">
        <f>'[1]auto data'!T15</f>
        <v>4.6410363761153057</v>
      </c>
      <c r="I60" s="20">
        <v>0</v>
      </c>
      <c r="J60" s="22">
        <f>C154</f>
        <v>1.3726835964310227</v>
      </c>
      <c r="K60" s="24">
        <f t="shared" si="24"/>
        <v>338.09949999999998</v>
      </c>
      <c r="L60" s="33">
        <f t="shared" si="25"/>
        <v>-5.53305978483608E-2</v>
      </c>
      <c r="M60" s="28">
        <f t="shared" si="26"/>
        <v>-19.802956912357956</v>
      </c>
      <c r="N60" s="29">
        <v>4.58</v>
      </c>
      <c r="O60" s="30">
        <f t="shared" si="27"/>
        <v>2.29</v>
      </c>
      <c r="P60" s="32">
        <f t="shared" si="28"/>
        <v>-2.59</v>
      </c>
    </row>
    <row r="61" spans="1:16" x14ac:dyDescent="0.2">
      <c r="A61" s="49" t="s">
        <v>123</v>
      </c>
      <c r="B61" s="50" t="s">
        <v>124</v>
      </c>
      <c r="C61" s="51">
        <v>44673</v>
      </c>
      <c r="D61" s="50">
        <v>100</v>
      </c>
      <c r="E61" s="22">
        <v>1.0787</v>
      </c>
      <c r="F61" s="52">
        <v>4.62</v>
      </c>
      <c r="G61" s="53">
        <f t="shared" si="0"/>
        <v>428.29331602855291</v>
      </c>
      <c r="H61" s="54">
        <f>'[1]auto data'!S18</f>
        <v>4.53</v>
      </c>
      <c r="I61" s="20">
        <v>0</v>
      </c>
      <c r="J61" s="22">
        <f>C153</f>
        <v>1.0795638562020944</v>
      </c>
      <c r="K61" s="24">
        <f t="shared" si="24"/>
        <v>419.61390000000006</v>
      </c>
      <c r="L61" s="33">
        <f t="shared" si="25"/>
        <v>-2.0265121363636274E-2</v>
      </c>
      <c r="M61" s="28">
        <f t="shared" si="26"/>
        <v>-8.6794160285528505</v>
      </c>
      <c r="N61" s="29">
        <v>4.6100000000000003</v>
      </c>
      <c r="O61" s="30">
        <f t="shared" si="27"/>
        <v>2.3050000000000002</v>
      </c>
      <c r="P61" s="32">
        <f t="shared" si="28"/>
        <v>-2.3149999999999999</v>
      </c>
    </row>
    <row r="62" spans="1:16" x14ac:dyDescent="0.2">
      <c r="A62" s="2" t="s">
        <v>125</v>
      </c>
      <c r="B62" s="3"/>
      <c r="C62" s="3"/>
      <c r="D62" s="3"/>
      <c r="E62" s="3"/>
      <c r="F62" s="4"/>
      <c r="G62" s="5"/>
      <c r="H62" s="6"/>
      <c r="I62" s="6"/>
      <c r="J62" s="6"/>
      <c r="K62" s="7"/>
      <c r="L62" s="8" t="s">
        <v>1</v>
      </c>
      <c r="M62" s="9">
        <f>SUM(K64:K69)</f>
        <v>2683.2655500000001</v>
      </c>
      <c r="N62" s="10"/>
      <c r="O62" s="11"/>
      <c r="P62" s="12">
        <f>M62/P158</f>
        <v>3.8770495967279953E-2</v>
      </c>
    </row>
    <row r="63" spans="1:16" x14ac:dyDescent="0.2">
      <c r="A63" s="13" t="s">
        <v>2</v>
      </c>
      <c r="B63" s="13" t="s">
        <v>3</v>
      </c>
      <c r="C63" s="14" t="s">
        <v>4</v>
      </c>
      <c r="D63" s="13" t="s">
        <v>5</v>
      </c>
      <c r="E63" s="15" t="s">
        <v>6</v>
      </c>
      <c r="F63" s="13" t="s">
        <v>7</v>
      </c>
      <c r="G63" s="13" t="s">
        <v>8</v>
      </c>
      <c r="H63" s="16" t="s">
        <v>9</v>
      </c>
      <c r="I63" s="13" t="s">
        <v>10</v>
      </c>
      <c r="J63" s="15" t="s">
        <v>11</v>
      </c>
      <c r="K63" s="13" t="s">
        <v>12</v>
      </c>
      <c r="L63" s="13" t="s">
        <v>13</v>
      </c>
      <c r="M63" s="17" t="s">
        <v>14</v>
      </c>
      <c r="N63" s="18" t="s">
        <v>15</v>
      </c>
      <c r="O63" s="19" t="s">
        <v>16</v>
      </c>
      <c r="P63" s="17" t="s">
        <v>17</v>
      </c>
    </row>
    <row r="64" spans="1:16" x14ac:dyDescent="0.2">
      <c r="A64" s="20" t="s">
        <v>126</v>
      </c>
      <c r="B64" s="20" t="s">
        <v>127</v>
      </c>
      <c r="C64" s="21">
        <v>44187</v>
      </c>
      <c r="D64" s="20">
        <v>200</v>
      </c>
      <c r="E64" s="22">
        <v>1.51</v>
      </c>
      <c r="F64" s="26">
        <v>2.8</v>
      </c>
      <c r="G64" s="24">
        <f t="shared" si="0"/>
        <v>370.86092715231786</v>
      </c>
      <c r="H64" s="55">
        <f>'[1]auto data'!P4</f>
        <v>2.87</v>
      </c>
      <c r="I64" s="20">
        <v>0</v>
      </c>
      <c r="J64" s="22">
        <f>C154</f>
        <v>1.3726835964310227</v>
      </c>
      <c r="K64" s="24">
        <f>((H64+I64)/J64)*D64</f>
        <v>418.15899999999999</v>
      </c>
      <c r="L64" s="27">
        <f t="shared" ref="L64:L69" si="29">(K64-G64)/G64</f>
        <v>0.12753587500000005</v>
      </c>
      <c r="M64" s="28">
        <f t="shared" ref="M64:M69" si="30">K64-G64</f>
        <v>47.298072847682135</v>
      </c>
      <c r="N64" s="29">
        <v>5.3</v>
      </c>
      <c r="O64" s="30">
        <f>(N64+I64)*0.5</f>
        <v>2.65</v>
      </c>
      <c r="P64" s="32">
        <f t="shared" ref="P64:P69" si="31">O64-F64</f>
        <v>-0.14999999999999991</v>
      </c>
    </row>
    <row r="65" spans="1:16" x14ac:dyDescent="0.2">
      <c r="A65" s="20" t="s">
        <v>128</v>
      </c>
      <c r="B65" s="20" t="s">
        <v>129</v>
      </c>
      <c r="C65" s="21">
        <v>44246</v>
      </c>
      <c r="D65" s="20">
        <v>1000</v>
      </c>
      <c r="E65" s="22">
        <v>1.54</v>
      </c>
      <c r="F65" s="26">
        <v>0.34</v>
      </c>
      <c r="G65" s="24">
        <f t="shared" si="0"/>
        <v>220.77922077922076</v>
      </c>
      <c r="H65" s="55">
        <f>'[1]auto data'!P5</f>
        <v>0.32</v>
      </c>
      <c r="I65" s="20">
        <v>0</v>
      </c>
      <c r="J65" s="22">
        <f>C154</f>
        <v>1.3726835964310227</v>
      </c>
      <c r="K65" s="24">
        <f>((H65+I65)/J65)*D65</f>
        <v>233.12</v>
      </c>
      <c r="L65" s="27">
        <f t="shared" si="29"/>
        <v>5.5896470588235381E-2</v>
      </c>
      <c r="M65" s="28">
        <f t="shared" si="30"/>
        <v>12.34077922077924</v>
      </c>
      <c r="N65" s="29">
        <v>0.4</v>
      </c>
      <c r="O65" s="30">
        <f>(N65+I65)*0.33</f>
        <v>0.13200000000000001</v>
      </c>
      <c r="P65" s="32">
        <f t="shared" si="31"/>
        <v>-0.20800000000000002</v>
      </c>
    </row>
    <row r="66" spans="1:16" x14ac:dyDescent="0.2">
      <c r="A66" s="20" t="s">
        <v>130</v>
      </c>
      <c r="B66" s="20" t="s">
        <v>131</v>
      </c>
      <c r="C66" s="21">
        <v>44552</v>
      </c>
      <c r="D66" s="20">
        <v>2000</v>
      </c>
      <c r="E66" s="22">
        <v>1.4556</v>
      </c>
      <c r="F66" s="26">
        <v>0.17749999999999999</v>
      </c>
      <c r="G66" s="24">
        <f t="shared" si="0"/>
        <v>243.88568287991205</v>
      </c>
      <c r="H66" s="55">
        <f>'[1]auto data'!W19</f>
        <v>0.155</v>
      </c>
      <c r="I66" s="20">
        <v>0</v>
      </c>
      <c r="J66" s="22">
        <f>C154</f>
        <v>1.3726835964310227</v>
      </c>
      <c r="K66" s="24">
        <f>((H66+I66)/J66)*D66</f>
        <v>225.83500000000001</v>
      </c>
      <c r="L66" s="33">
        <f t="shared" si="29"/>
        <v>-7.4012884507042187E-2</v>
      </c>
      <c r="M66" s="28">
        <f t="shared" si="30"/>
        <v>-18.050682879912046</v>
      </c>
      <c r="N66" s="29">
        <v>0.2</v>
      </c>
      <c r="O66" s="30">
        <f>(N66+I66)*0.33</f>
        <v>6.6000000000000003E-2</v>
      </c>
      <c r="P66" s="32">
        <f t="shared" si="31"/>
        <v>-0.11149999999999999</v>
      </c>
    </row>
    <row r="67" spans="1:16" x14ac:dyDescent="0.2">
      <c r="A67" s="20" t="s">
        <v>132</v>
      </c>
      <c r="B67" s="20" t="s">
        <v>133</v>
      </c>
      <c r="C67" s="21">
        <v>44552</v>
      </c>
      <c r="D67" s="20">
        <v>100</v>
      </c>
      <c r="E67" s="22">
        <v>0.8488</v>
      </c>
      <c r="F67" s="38">
        <v>389</v>
      </c>
      <c r="G67" s="24">
        <f>(F67*D67)/E67/100</f>
        <v>458.29406220546656</v>
      </c>
      <c r="H67" s="56">
        <f>'[1]auto data'!W18</f>
        <v>392.5</v>
      </c>
      <c r="I67" s="20">
        <v>0</v>
      </c>
      <c r="J67" s="22">
        <f>C156</f>
        <v>0.84097216382137752</v>
      </c>
      <c r="K67" s="24">
        <f>((H67+I67)/J67)*D67/100</f>
        <v>466.72174999999993</v>
      </c>
      <c r="L67" s="27">
        <f t="shared" si="29"/>
        <v>1.8389258097686181E-2</v>
      </c>
      <c r="M67" s="28">
        <f t="shared" si="30"/>
        <v>8.4276877945333695</v>
      </c>
      <c r="N67" s="57">
        <v>408</v>
      </c>
      <c r="O67" s="58">
        <f>(N67+I67)*0.33</f>
        <v>134.64000000000001</v>
      </c>
      <c r="P67" s="32">
        <f t="shared" si="31"/>
        <v>-254.35999999999999</v>
      </c>
    </row>
    <row r="68" spans="1:16" x14ac:dyDescent="0.2">
      <c r="A68" s="34" t="s">
        <v>134</v>
      </c>
      <c r="B68" s="20" t="s">
        <v>135</v>
      </c>
      <c r="C68" s="21">
        <v>44559</v>
      </c>
      <c r="D68" s="20">
        <v>400</v>
      </c>
      <c r="E68" s="22">
        <v>1.1322000000000001</v>
      </c>
      <c r="F68" s="26">
        <v>1.36</v>
      </c>
      <c r="G68" s="24">
        <f>(F68*D68)/E68</f>
        <v>480.48048048048042</v>
      </c>
      <c r="H68" s="55">
        <f>'[1]auto data'!P6</f>
        <v>1.1100000000000001</v>
      </c>
      <c r="I68" s="20">
        <v>0</v>
      </c>
      <c r="J68" s="22">
        <f>C153</f>
        <v>1.0795638562020944</v>
      </c>
      <c r="K68" s="24">
        <f>((H68+I68)/J68)*D68</f>
        <v>411.27720000000005</v>
      </c>
      <c r="L68" s="33">
        <f t="shared" si="29"/>
        <v>-0.1440293274999998</v>
      </c>
      <c r="M68" s="28">
        <f t="shared" si="30"/>
        <v>-69.203280480480373</v>
      </c>
      <c r="N68" s="29">
        <v>1.73</v>
      </c>
      <c r="O68" s="30">
        <f>(N68+I68)*0.33</f>
        <v>0.57090000000000007</v>
      </c>
      <c r="P68" s="32">
        <f t="shared" si="31"/>
        <v>-0.78910000000000002</v>
      </c>
    </row>
    <row r="69" spans="1:16" x14ac:dyDescent="0.2">
      <c r="A69" s="20" t="s">
        <v>136</v>
      </c>
      <c r="B69" s="20" t="s">
        <v>137</v>
      </c>
      <c r="C69" s="21">
        <v>44651</v>
      </c>
      <c r="D69" s="20">
        <v>60</v>
      </c>
      <c r="E69" s="22">
        <v>1.0938000000000001</v>
      </c>
      <c r="F69" s="26">
        <v>18.68</v>
      </c>
      <c r="G69" s="24">
        <f>(F69*D69)/E69</f>
        <v>1024.684585847504</v>
      </c>
      <c r="H69" s="55">
        <f>'[1]auto data'!P7</f>
        <v>16.7</v>
      </c>
      <c r="I69" s="20">
        <v>0</v>
      </c>
      <c r="J69" s="22">
        <f>C153</f>
        <v>1.0795638562020944</v>
      </c>
      <c r="K69" s="24">
        <f>((H69+I69)/J69)*D69</f>
        <v>928.15259999999989</v>
      </c>
      <c r="L69" s="33">
        <f t="shared" si="29"/>
        <v>-9.4206536509635952E-2</v>
      </c>
      <c r="M69" s="28">
        <f t="shared" si="30"/>
        <v>-96.531985847504075</v>
      </c>
      <c r="N69" s="29">
        <v>20.83</v>
      </c>
      <c r="O69" s="30">
        <f>(N69+I69)*0.75</f>
        <v>15.622499999999999</v>
      </c>
      <c r="P69" s="32">
        <f t="shared" si="31"/>
        <v>-3.057500000000001</v>
      </c>
    </row>
    <row r="70" spans="1:16" x14ac:dyDescent="0.2">
      <c r="A70" s="2" t="s">
        <v>138</v>
      </c>
      <c r="B70" s="3"/>
      <c r="C70" s="3"/>
      <c r="D70" s="3"/>
      <c r="E70" s="3"/>
      <c r="F70" s="4"/>
      <c r="G70" s="5"/>
      <c r="H70" s="6"/>
      <c r="I70" s="6"/>
      <c r="J70" s="6"/>
      <c r="K70" s="7"/>
      <c r="L70" s="8" t="s">
        <v>1</v>
      </c>
      <c r="M70" s="9">
        <f>SUM(K72:K80)</f>
        <v>1297.1606731949848</v>
      </c>
      <c r="N70" s="10"/>
      <c r="O70" s="11"/>
      <c r="P70" s="12">
        <f>M70/P158</f>
        <v>1.8742670716664741E-2</v>
      </c>
    </row>
    <row r="71" spans="1:16" x14ac:dyDescent="0.2">
      <c r="A71" s="13" t="s">
        <v>139</v>
      </c>
      <c r="B71" s="13" t="s">
        <v>3</v>
      </c>
      <c r="C71" s="14" t="s">
        <v>4</v>
      </c>
      <c r="D71" s="13" t="s">
        <v>5</v>
      </c>
      <c r="E71" s="15" t="s">
        <v>6</v>
      </c>
      <c r="F71" s="13" t="s">
        <v>7</v>
      </c>
      <c r="G71" s="13" t="s">
        <v>8</v>
      </c>
      <c r="H71" s="16" t="s">
        <v>9</v>
      </c>
      <c r="I71" s="13" t="s">
        <v>10</v>
      </c>
      <c r="J71" s="15" t="s">
        <v>11</v>
      </c>
      <c r="K71" s="13" t="s">
        <v>140</v>
      </c>
      <c r="L71" s="13" t="s">
        <v>13</v>
      </c>
      <c r="M71" s="59"/>
      <c r="N71" s="60"/>
      <c r="O71" s="61"/>
      <c r="P71" s="17" t="s">
        <v>141</v>
      </c>
    </row>
    <row r="72" spans="1:16" x14ac:dyDescent="0.2">
      <c r="A72" s="43" t="s">
        <v>142</v>
      </c>
      <c r="B72" s="20" t="s">
        <v>44</v>
      </c>
      <c r="C72" s="21">
        <v>44033</v>
      </c>
      <c r="D72" s="20">
        <v>1</v>
      </c>
      <c r="E72" s="22">
        <v>1.145</v>
      </c>
      <c r="F72" s="23">
        <v>-261</v>
      </c>
      <c r="G72" s="24">
        <f>(F72*D72)/E72</f>
        <v>-227.94759825327512</v>
      </c>
      <c r="H72" s="62">
        <v>-125</v>
      </c>
      <c r="I72" s="20">
        <v>0</v>
      </c>
      <c r="J72" s="22">
        <f>C153</f>
        <v>1.0795638562020944</v>
      </c>
      <c r="K72" s="24">
        <f>((H72-F72)/J72)*D72</f>
        <v>125.9768</v>
      </c>
      <c r="L72" s="27">
        <f>-(K72-G72)/G72</f>
        <v>1.5526568429118774</v>
      </c>
      <c r="M72" s="28"/>
      <c r="N72" s="43"/>
      <c r="O72" s="30"/>
      <c r="P72" s="32" t="s">
        <v>143</v>
      </c>
    </row>
    <row r="73" spans="1:16" x14ac:dyDescent="0.2">
      <c r="A73" s="43" t="s">
        <v>144</v>
      </c>
      <c r="B73" s="20" t="s">
        <v>19</v>
      </c>
      <c r="C73" s="21">
        <v>44946</v>
      </c>
      <c r="D73" s="20">
        <v>2</v>
      </c>
      <c r="E73" s="22">
        <v>1.2199</v>
      </c>
      <c r="F73" s="20">
        <v>-240</v>
      </c>
      <c r="G73" s="24">
        <f>(F73*D73)/E73</f>
        <v>-393.47487498975329</v>
      </c>
      <c r="H73" s="56">
        <v>-100</v>
      </c>
      <c r="I73" s="20">
        <v>0</v>
      </c>
      <c r="J73" s="22">
        <f>C153</f>
        <v>1.0795638562020944</v>
      </c>
      <c r="K73" s="24">
        <f>((H73-F73)/J73)*D73</f>
        <v>259.36399999999998</v>
      </c>
      <c r="L73" s="27">
        <f>-(K73)/G73</f>
        <v>0.65916279916666654</v>
      </c>
      <c r="M73" s="28"/>
      <c r="N73" s="43"/>
      <c r="O73" s="30"/>
      <c r="P73" s="32" t="s">
        <v>143</v>
      </c>
    </row>
    <row r="74" spans="1:16" x14ac:dyDescent="0.2">
      <c r="A74" s="43" t="s">
        <v>145</v>
      </c>
      <c r="B74" s="20" t="s">
        <v>120</v>
      </c>
      <c r="C74" s="21">
        <v>44946</v>
      </c>
      <c r="D74" s="20">
        <v>1</v>
      </c>
      <c r="E74" s="22">
        <v>1.2027000000000001</v>
      </c>
      <c r="F74" s="20">
        <v>-225</v>
      </c>
      <c r="G74" s="24">
        <f>(F74*D74)/E74</f>
        <v>-187.07907208780242</v>
      </c>
      <c r="H74" s="56">
        <v>-80</v>
      </c>
      <c r="I74" s="20">
        <v>0</v>
      </c>
      <c r="J74" s="22">
        <f>C153</f>
        <v>1.0795638562020944</v>
      </c>
      <c r="K74" s="24">
        <f t="shared" ref="K74:K76" si="32">((H74-F74)/J74)*D74</f>
        <v>134.3135</v>
      </c>
      <c r="L74" s="27">
        <f t="shared" ref="L74:L75" si="33">-(K74)/G74</f>
        <v>0.71795042866666681</v>
      </c>
      <c r="M74" s="28"/>
      <c r="N74" s="43"/>
      <c r="O74" s="30"/>
      <c r="P74" s="32" t="s">
        <v>143</v>
      </c>
    </row>
    <row r="75" spans="1:16" x14ac:dyDescent="0.2">
      <c r="A75" s="43" t="s">
        <v>146</v>
      </c>
      <c r="B75" s="20" t="s">
        <v>35</v>
      </c>
      <c r="C75" s="21">
        <v>44610</v>
      </c>
      <c r="D75" s="20">
        <v>1</v>
      </c>
      <c r="E75" s="22">
        <v>1.2027000000000001</v>
      </c>
      <c r="F75" s="20">
        <v>-276</v>
      </c>
      <c r="G75" s="24">
        <f>(F75*D75)/E75</f>
        <v>-229.48366176103764</v>
      </c>
      <c r="H75" s="56">
        <v>-345</v>
      </c>
      <c r="I75" s="20">
        <v>0</v>
      </c>
      <c r="J75" s="22">
        <f>C153</f>
        <v>1.0795638562020944</v>
      </c>
      <c r="K75" s="24">
        <f t="shared" si="32"/>
        <v>-63.914699999999996</v>
      </c>
      <c r="L75" s="33">
        <f t="shared" si="33"/>
        <v>-0.27851525250000003</v>
      </c>
      <c r="M75" s="28"/>
      <c r="N75" s="43"/>
      <c r="O75" s="30"/>
      <c r="P75" s="32" t="s">
        <v>143</v>
      </c>
    </row>
    <row r="76" spans="1:16" x14ac:dyDescent="0.2">
      <c r="A76" s="43" t="s">
        <v>147</v>
      </c>
      <c r="B76" s="20" t="s">
        <v>148</v>
      </c>
      <c r="C76" s="21">
        <v>44424</v>
      </c>
      <c r="D76" s="20">
        <v>2</v>
      </c>
      <c r="E76" s="22">
        <v>1.1735</v>
      </c>
      <c r="F76" s="20">
        <v>492</v>
      </c>
      <c r="G76" s="24">
        <f>(F76*D76)/E76</f>
        <v>838.51725607158073</v>
      </c>
      <c r="H76" s="56">
        <v>630</v>
      </c>
      <c r="I76" s="20">
        <v>0</v>
      </c>
      <c r="J76" s="22">
        <f>C153</f>
        <v>1.0795638562020944</v>
      </c>
      <c r="K76" s="24">
        <f t="shared" si="32"/>
        <v>255.65879999999999</v>
      </c>
      <c r="L76" s="27">
        <f>(K76)/G76</f>
        <v>0.30489390426829266</v>
      </c>
      <c r="M76" s="28"/>
      <c r="N76" s="43"/>
      <c r="O76" s="30"/>
      <c r="P76" s="32" t="s">
        <v>143</v>
      </c>
    </row>
    <row r="77" spans="1:16" x14ac:dyDescent="0.2">
      <c r="A77" s="43" t="s">
        <v>149</v>
      </c>
      <c r="B77" s="20" t="s">
        <v>63</v>
      </c>
      <c r="C77" s="21">
        <v>44396</v>
      </c>
      <c r="D77" s="20">
        <v>33</v>
      </c>
      <c r="E77" s="22">
        <v>1.5044</v>
      </c>
      <c r="F77" s="20">
        <v>4</v>
      </c>
      <c r="G77" s="24">
        <v>0</v>
      </c>
      <c r="H77" s="57">
        <v>4</v>
      </c>
      <c r="I77" s="20">
        <v>0</v>
      </c>
      <c r="J77" s="22">
        <f>C154</f>
        <v>1.3726835964310227</v>
      </c>
      <c r="K77" s="24">
        <f>H77</f>
        <v>4</v>
      </c>
      <c r="L77" s="27" t="s">
        <v>64</v>
      </c>
      <c r="M77" s="28"/>
      <c r="N77" s="63"/>
      <c r="O77" s="30"/>
      <c r="P77" s="31"/>
    </row>
    <row r="78" spans="1:16" x14ac:dyDescent="0.2">
      <c r="A78" s="43" t="s">
        <v>150</v>
      </c>
      <c r="B78" s="20" t="s">
        <v>151</v>
      </c>
      <c r="C78" s="21">
        <v>44498</v>
      </c>
      <c r="D78" s="20">
        <v>50</v>
      </c>
      <c r="E78" s="22">
        <v>1.1565000000000001</v>
      </c>
      <c r="F78" s="20">
        <v>2.42</v>
      </c>
      <c r="G78" s="24">
        <f>(F78*D78)/E78</f>
        <v>104.62602680501513</v>
      </c>
      <c r="H78" s="57">
        <v>245</v>
      </c>
      <c r="I78" s="20">
        <v>0</v>
      </c>
      <c r="J78" s="22">
        <f>C153</f>
        <v>1.0795638562020944</v>
      </c>
      <c r="K78" s="24">
        <f>H78/J78-G78</f>
        <v>122.31747319498487</v>
      </c>
      <c r="L78" s="27">
        <f>K78/G78</f>
        <v>1.1690922128099175</v>
      </c>
      <c r="M78" s="28"/>
      <c r="N78" s="43"/>
      <c r="O78" s="30"/>
      <c r="P78" s="31" t="s">
        <v>152</v>
      </c>
    </row>
    <row r="79" spans="1:16" x14ac:dyDescent="0.2">
      <c r="A79" s="64" t="s">
        <v>153</v>
      </c>
      <c r="B79" s="20" t="s">
        <v>154</v>
      </c>
      <c r="C79" s="21">
        <v>44498</v>
      </c>
      <c r="D79" s="20">
        <v>200</v>
      </c>
      <c r="E79" s="22">
        <v>1.1565000000000001</v>
      </c>
      <c r="F79" s="26">
        <v>3.6</v>
      </c>
      <c r="G79" s="24">
        <f>(F79*D79)/E79</f>
        <v>622.56809338521396</v>
      </c>
      <c r="H79" s="57">
        <v>326</v>
      </c>
      <c r="I79" s="20">
        <v>0</v>
      </c>
      <c r="J79" s="22">
        <f>C153</f>
        <v>1.0795638562020944</v>
      </c>
      <c r="K79" s="24">
        <f>H79/J79</f>
        <v>301.97379999999998</v>
      </c>
      <c r="L79" s="33">
        <f t="shared" ref="L79:L80" si="34">(K79-G79)/G79</f>
        <v>-0.51495458375000003</v>
      </c>
      <c r="M79" s="28"/>
      <c r="N79" s="43"/>
      <c r="O79" s="30"/>
      <c r="P79" s="31"/>
    </row>
    <row r="80" spans="1:16" x14ac:dyDescent="0.2">
      <c r="A80" s="64" t="s">
        <v>153</v>
      </c>
      <c r="B80" s="20" t="s">
        <v>155</v>
      </c>
      <c r="C80" s="21">
        <v>44509</v>
      </c>
      <c r="D80" s="20">
        <v>200</v>
      </c>
      <c r="E80" s="22">
        <v>1.1453</v>
      </c>
      <c r="F80" s="20">
        <v>1.94</v>
      </c>
      <c r="G80" s="24">
        <f>(F80*D80)/E80</f>
        <v>338.77586658517419</v>
      </c>
      <c r="H80" s="57">
        <v>170</v>
      </c>
      <c r="I80" s="20">
        <v>0</v>
      </c>
      <c r="J80" s="22">
        <f>C153</f>
        <v>1.0795638562020944</v>
      </c>
      <c r="K80" s="24">
        <f>H80/J80</f>
        <v>157.471</v>
      </c>
      <c r="L80" s="33">
        <f t="shared" si="34"/>
        <v>-0.53517645283505155</v>
      </c>
      <c r="M80" s="28"/>
      <c r="N80" s="43"/>
      <c r="O80" s="30"/>
      <c r="P80" s="31"/>
    </row>
    <row r="81" spans="1:16" x14ac:dyDescent="0.2">
      <c r="A81" s="2" t="s">
        <v>156</v>
      </c>
      <c r="B81" s="3"/>
      <c r="C81" s="3"/>
      <c r="D81" s="3"/>
      <c r="E81" s="3"/>
      <c r="F81" s="4"/>
      <c r="G81" s="65"/>
      <c r="H81" s="66"/>
      <c r="I81" s="66"/>
      <c r="J81" s="66"/>
      <c r="K81" s="67"/>
      <c r="L81" s="8" t="s">
        <v>1</v>
      </c>
      <c r="M81" s="9">
        <f>SUM(K83:K85)</f>
        <v>4102.2214083243125</v>
      </c>
      <c r="N81" s="10"/>
      <c r="O81" s="11"/>
      <c r="P81" s="12">
        <f>M81/E161</f>
        <v>4.7417116892831394E-2</v>
      </c>
    </row>
    <row r="82" spans="1:16" x14ac:dyDescent="0.2">
      <c r="A82" s="13" t="s">
        <v>2</v>
      </c>
      <c r="B82" s="13" t="s">
        <v>3</v>
      </c>
      <c r="C82" s="14" t="s">
        <v>4</v>
      </c>
      <c r="D82" s="13" t="s">
        <v>5</v>
      </c>
      <c r="E82" s="15" t="s">
        <v>6</v>
      </c>
      <c r="F82" s="13" t="s">
        <v>7</v>
      </c>
      <c r="G82" s="13" t="s">
        <v>8</v>
      </c>
      <c r="H82" s="16" t="s">
        <v>9</v>
      </c>
      <c r="I82" s="13" t="s">
        <v>10</v>
      </c>
      <c r="J82" s="15" t="s">
        <v>11</v>
      </c>
      <c r="K82" s="13" t="s">
        <v>12</v>
      </c>
      <c r="L82" s="13" t="s">
        <v>13</v>
      </c>
      <c r="M82" s="17" t="s">
        <v>14</v>
      </c>
      <c r="N82" s="18"/>
      <c r="O82" s="19"/>
      <c r="P82" s="17"/>
    </row>
    <row r="83" spans="1:16" x14ac:dyDescent="0.2">
      <c r="A83" s="20" t="s">
        <v>157</v>
      </c>
      <c r="B83" s="20" t="s">
        <v>158</v>
      </c>
      <c r="C83" s="21">
        <v>44618</v>
      </c>
      <c r="D83" s="20">
        <v>500</v>
      </c>
      <c r="E83" s="22">
        <v>1</v>
      </c>
      <c r="F83" s="26">
        <v>0.374</v>
      </c>
      <c r="G83" s="24">
        <f>((F83*D83)/E83)-110</f>
        <v>77</v>
      </c>
      <c r="H83" s="68">
        <f>[1]crypto!C34</f>
        <v>0.37529624</v>
      </c>
      <c r="I83" s="69">
        <f>0.57534247*7</f>
        <v>4.0273972900000006</v>
      </c>
      <c r="J83" s="22">
        <v>1</v>
      </c>
      <c r="K83" s="24">
        <f>((H83)/J83)*(D83+I83)</f>
        <v>189.15958705992318</v>
      </c>
      <c r="L83" s="27">
        <f t="shared" ref="L83:L85" si="35">(K83-G83)/G83</f>
        <v>1.4566180137652363</v>
      </c>
      <c r="M83" s="28">
        <f t="shared" ref="M83" si="36">K83-G83</f>
        <v>112.15958705992318</v>
      </c>
      <c r="N83" s="43"/>
      <c r="O83" s="30"/>
      <c r="P83" s="32"/>
    </row>
    <row r="84" spans="1:16" x14ac:dyDescent="0.2">
      <c r="A84" s="20" t="s">
        <v>159</v>
      </c>
      <c r="B84" s="20" t="s">
        <v>158</v>
      </c>
      <c r="C84" s="21">
        <v>44670</v>
      </c>
      <c r="D84" s="20">
        <v>9500</v>
      </c>
      <c r="E84" s="22">
        <v>1</v>
      </c>
      <c r="F84" s="26">
        <v>0.38</v>
      </c>
      <c r="G84" s="24">
        <f>((F84*D84)/E84)-110</f>
        <v>3500</v>
      </c>
      <c r="H84" s="68">
        <f>H83</f>
        <v>0.37529624</v>
      </c>
      <c r="I84" s="22">
        <v>0</v>
      </c>
      <c r="J84" s="22">
        <v>1</v>
      </c>
      <c r="K84" s="24">
        <f>((H84)/J84)*(D84+I84)</f>
        <v>3565.3142800000001</v>
      </c>
      <c r="L84" s="27">
        <f t="shared" si="35"/>
        <v>1.8661222857142872E-2</v>
      </c>
      <c r="M84" s="28">
        <f>K84-G84</f>
        <v>65.314280000000053</v>
      </c>
      <c r="N84" s="43"/>
      <c r="O84" s="30"/>
      <c r="P84" s="32"/>
    </row>
    <row r="85" spans="1:16" x14ac:dyDescent="0.2">
      <c r="A85" s="20" t="s">
        <v>160</v>
      </c>
      <c r="B85" s="20" t="s">
        <v>161</v>
      </c>
      <c r="C85" s="21">
        <v>44649</v>
      </c>
      <c r="D85" s="20">
        <v>274</v>
      </c>
      <c r="E85" s="22">
        <v>1</v>
      </c>
      <c r="F85" s="26">
        <v>1.52</v>
      </c>
      <c r="G85" s="24">
        <f>((F85*D85)/E85)</f>
        <v>416.48</v>
      </c>
      <c r="H85" s="68">
        <f>[1]crypto!C28</f>
        <v>1.2633368</v>
      </c>
      <c r="I85" s="69">
        <f>0.42038356*3</f>
        <v>1.2611506800000001</v>
      </c>
      <c r="J85" s="22">
        <v>1</v>
      </c>
      <c r="K85" s="24">
        <f>((H85)/J85)*(D85+I85)</f>
        <v>347.74754126438904</v>
      </c>
      <c r="L85" s="33">
        <f t="shared" si="35"/>
        <v>-0.16503183522764833</v>
      </c>
      <c r="M85" s="28">
        <f t="shared" ref="M85" si="37">K85-G85</f>
        <v>-68.732458735610976</v>
      </c>
      <c r="N85" s="43"/>
      <c r="O85" s="30"/>
      <c r="P85" s="32"/>
    </row>
    <row r="86" spans="1:16" x14ac:dyDescent="0.2">
      <c r="A86" s="2" t="s">
        <v>162</v>
      </c>
      <c r="B86" s="3"/>
      <c r="C86" s="3"/>
      <c r="D86" s="3"/>
      <c r="E86" s="3"/>
      <c r="F86" s="4"/>
      <c r="G86" s="5"/>
      <c r="H86" s="6"/>
      <c r="I86" s="6"/>
      <c r="J86" s="6"/>
      <c r="K86" s="7"/>
      <c r="L86" s="8" t="s">
        <v>1</v>
      </c>
      <c r="M86" s="9">
        <f>SUM(K87:K121)</f>
        <v>13695.398058157165</v>
      </c>
      <c r="N86" s="10"/>
      <c r="O86" s="11"/>
      <c r="P86" s="12">
        <f>M86/P158</f>
        <v>0.19788476589060522</v>
      </c>
    </row>
    <row r="87" spans="1:16" x14ac:dyDescent="0.2">
      <c r="A87" s="20" t="s">
        <v>163</v>
      </c>
      <c r="B87" s="20" t="s">
        <v>164</v>
      </c>
      <c r="C87" s="21">
        <v>44152</v>
      </c>
      <c r="D87" s="20">
        <v>4.4999999999999998E-2</v>
      </c>
      <c r="E87" s="22">
        <v>1</v>
      </c>
      <c r="F87" s="20">
        <v>8472.34</v>
      </c>
      <c r="G87" s="24">
        <f t="shared" si="0"/>
        <v>381.25529999999998</v>
      </c>
      <c r="H87" s="55">
        <f>[1]crypto!C2</f>
        <v>36744.164499999999</v>
      </c>
      <c r="I87" s="70">
        <f>(D87/0.06427116)*(0.00005547*7)</f>
        <v>2.7186455013415039E-4</v>
      </c>
      <c r="J87" s="22">
        <v>1</v>
      </c>
      <c r="K87" s="24">
        <f>((H87)/J87)*(D87+I87)</f>
        <v>1663.4768382518475</v>
      </c>
      <c r="L87" s="27">
        <f t="shared" ref="L87:L93" si="38">(K87-G87)/G87+1</f>
        <v>4.3631572813593609</v>
      </c>
      <c r="M87" s="71"/>
      <c r="N87" s="72"/>
      <c r="O87" s="30" t="s">
        <v>165</v>
      </c>
      <c r="P87" s="73">
        <v>1</v>
      </c>
    </row>
    <row r="88" spans="1:16" x14ac:dyDescent="0.2">
      <c r="A88" s="74" t="s">
        <v>166</v>
      </c>
      <c r="B88" s="74" t="s">
        <v>44</v>
      </c>
      <c r="C88" s="75">
        <v>43187</v>
      </c>
      <c r="D88" s="20">
        <v>22</v>
      </c>
      <c r="E88" s="22">
        <v>1.24</v>
      </c>
      <c r="F88" s="76">
        <v>12.22</v>
      </c>
      <c r="G88" s="24">
        <f t="shared" si="0"/>
        <v>216.80645161290326</v>
      </c>
      <c r="H88" s="47">
        <f>'[1]auto data'!S6</f>
        <v>11.7</v>
      </c>
      <c r="I88" s="26">
        <v>0</v>
      </c>
      <c r="J88" s="22">
        <f>C153</f>
        <v>1.0795638562020944</v>
      </c>
      <c r="K88" s="24">
        <f t="shared" ref="K88:K108" si="39">((H88+I88)/J88)*D88</f>
        <v>238.42962</v>
      </c>
      <c r="L88" s="27">
        <f t="shared" si="38"/>
        <v>1.099734893617021</v>
      </c>
      <c r="M88" s="71"/>
      <c r="N88" s="72"/>
      <c r="O88" s="77" t="s">
        <v>167</v>
      </c>
      <c r="P88" s="73">
        <v>3</v>
      </c>
    </row>
    <row r="89" spans="1:16" x14ac:dyDescent="0.2">
      <c r="A89" s="20" t="s">
        <v>168</v>
      </c>
      <c r="B89" s="20" t="s">
        <v>169</v>
      </c>
      <c r="C89" s="21">
        <v>43102</v>
      </c>
      <c r="D89" s="78">
        <v>8</v>
      </c>
      <c r="E89" s="79">
        <v>1.24</v>
      </c>
      <c r="F89" s="26">
        <v>150</v>
      </c>
      <c r="G89" s="24">
        <f t="shared" ref="G89:G104" si="40">(F89*D89)/E89</f>
        <v>967.74193548387098</v>
      </c>
      <c r="H89" s="47">
        <f>'[1]auto data'!S8</f>
        <v>158.54</v>
      </c>
      <c r="I89" s="80">
        <f>[1]Dividend!P15</f>
        <v>4.1300000000000008</v>
      </c>
      <c r="J89" s="79">
        <f>C153</f>
        <v>1.0795638562020944</v>
      </c>
      <c r="K89" s="81">
        <f t="shared" si="39"/>
        <v>1205.4497679999999</v>
      </c>
      <c r="L89" s="27">
        <f t="shared" si="38"/>
        <v>1.2456314269333333</v>
      </c>
      <c r="M89" s="71">
        <f>167*(1-N89)</f>
        <v>125.25</v>
      </c>
      <c r="N89" s="72">
        <v>0.25</v>
      </c>
      <c r="O89" s="77" t="s">
        <v>167</v>
      </c>
      <c r="P89" s="73">
        <v>5</v>
      </c>
    </row>
    <row r="90" spans="1:16" x14ac:dyDescent="0.2">
      <c r="A90" s="20" t="s">
        <v>170</v>
      </c>
      <c r="B90" s="20" t="s">
        <v>19</v>
      </c>
      <c r="C90" s="21">
        <v>43102</v>
      </c>
      <c r="D90" s="78">
        <v>50</v>
      </c>
      <c r="E90" s="79">
        <v>1.24</v>
      </c>
      <c r="F90" s="20">
        <v>5.03</v>
      </c>
      <c r="G90" s="24">
        <f t="shared" si="40"/>
        <v>202.82258064516128</v>
      </c>
      <c r="H90" s="47">
        <f>'[1]auto data'!S9</f>
        <v>8.02</v>
      </c>
      <c r="I90" s="80">
        <f>[1]Dividend!P11</f>
        <v>3.2000000000000001E-2</v>
      </c>
      <c r="J90" s="79">
        <f>C153</f>
        <v>1.0795638562020944</v>
      </c>
      <c r="K90" s="82">
        <f t="shared" si="39"/>
        <v>372.92837999999995</v>
      </c>
      <c r="L90" s="27">
        <f t="shared" si="38"/>
        <v>1.838692609145129</v>
      </c>
      <c r="M90" s="71"/>
      <c r="N90" s="72"/>
      <c r="O90" s="77" t="s">
        <v>167</v>
      </c>
      <c r="P90" s="73">
        <v>6</v>
      </c>
    </row>
    <row r="91" spans="1:16" x14ac:dyDescent="0.2">
      <c r="A91" s="20" t="s">
        <v>171</v>
      </c>
      <c r="B91" s="20" t="s">
        <v>35</v>
      </c>
      <c r="C91" s="21">
        <v>43683</v>
      </c>
      <c r="D91" s="78">
        <v>33</v>
      </c>
      <c r="E91" s="79">
        <v>1.49</v>
      </c>
      <c r="F91" s="20">
        <v>4.6399999999999997</v>
      </c>
      <c r="G91" s="24">
        <f t="shared" si="40"/>
        <v>102.76510067114093</v>
      </c>
      <c r="H91" s="47">
        <f>'[1]auto data'!S10</f>
        <v>6.46</v>
      </c>
      <c r="I91" s="80">
        <f>[1]Dividend!P35</f>
        <v>4.9000000000000009E-2</v>
      </c>
      <c r="J91" s="79">
        <f>C154</f>
        <v>1.3726835964310227</v>
      </c>
      <c r="K91" s="82">
        <f t="shared" si="39"/>
        <v>156.4796145</v>
      </c>
      <c r="L91" s="27">
        <f t="shared" si="38"/>
        <v>1.5226921734913794</v>
      </c>
      <c r="M91" s="71"/>
      <c r="N91" s="72"/>
      <c r="O91" s="77" t="s">
        <v>167</v>
      </c>
      <c r="P91" s="73">
        <v>7</v>
      </c>
    </row>
    <row r="92" spans="1:16" x14ac:dyDescent="0.2">
      <c r="A92" s="20" t="s">
        <v>172</v>
      </c>
      <c r="B92" s="20" t="s">
        <v>173</v>
      </c>
      <c r="C92" s="21">
        <v>44155</v>
      </c>
      <c r="D92" s="20">
        <v>0.5</v>
      </c>
      <c r="E92" s="22">
        <v>1</v>
      </c>
      <c r="F92" s="20">
        <v>212</v>
      </c>
      <c r="G92" s="24">
        <f t="shared" si="40"/>
        <v>106</v>
      </c>
      <c r="H92" s="55">
        <f>[1]crypto!C3</f>
        <v>2731.6880000000001</v>
      </c>
      <c r="I92" s="20">
        <v>0</v>
      </c>
      <c r="J92" s="22">
        <v>1</v>
      </c>
      <c r="K92" s="24">
        <f t="shared" si="39"/>
        <v>1365.8440000000001</v>
      </c>
      <c r="L92" s="27">
        <f t="shared" si="38"/>
        <v>12.885320754716982</v>
      </c>
      <c r="M92" s="71"/>
      <c r="N92" s="72"/>
      <c r="O92" s="30" t="s">
        <v>165</v>
      </c>
      <c r="P92" s="73">
        <v>2</v>
      </c>
    </row>
    <row r="93" spans="1:16" x14ac:dyDescent="0.2">
      <c r="A93" s="20" t="s">
        <v>174</v>
      </c>
      <c r="B93" s="20" t="s">
        <v>175</v>
      </c>
      <c r="C93" s="21">
        <v>43994</v>
      </c>
      <c r="D93" s="20">
        <v>45</v>
      </c>
      <c r="E93" s="22">
        <v>1.1255999999999999</v>
      </c>
      <c r="F93" s="23">
        <v>5</v>
      </c>
      <c r="G93" s="24">
        <f t="shared" si="40"/>
        <v>199.89339019189768</v>
      </c>
      <c r="H93" s="42">
        <f>'[1]auto data'!S11</f>
        <v>4.3899999999999997</v>
      </c>
      <c r="I93" s="20">
        <v>0</v>
      </c>
      <c r="J93" s="22">
        <f>C153</f>
        <v>1.0795638562020944</v>
      </c>
      <c r="K93" s="24">
        <f t="shared" si="39"/>
        <v>182.990565</v>
      </c>
      <c r="L93" s="27">
        <f t="shared" si="38"/>
        <v>0.91544079983999993</v>
      </c>
      <c r="M93" s="71"/>
      <c r="N93" s="72"/>
      <c r="O93" s="30" t="s">
        <v>167</v>
      </c>
      <c r="P93" s="73">
        <v>8</v>
      </c>
    </row>
    <row r="94" spans="1:16" x14ac:dyDescent="0.2">
      <c r="A94" s="20" t="s">
        <v>176</v>
      </c>
      <c r="B94" s="20" t="s">
        <v>177</v>
      </c>
      <c r="C94" s="21">
        <v>44077</v>
      </c>
      <c r="D94" s="20">
        <v>350</v>
      </c>
      <c r="E94" s="22">
        <v>1.55</v>
      </c>
      <c r="F94" s="23">
        <v>0.48499999999999999</v>
      </c>
      <c r="G94" s="24">
        <f t="shared" si="40"/>
        <v>109.51612903225806</v>
      </c>
      <c r="H94" s="25">
        <f>'[1]auto data'!S12</f>
        <v>0.51</v>
      </c>
      <c r="I94" s="20">
        <v>0</v>
      </c>
      <c r="J94" s="22">
        <f>C154</f>
        <v>1.3726835964310227</v>
      </c>
      <c r="K94" s="24">
        <f t="shared" si="39"/>
        <v>130.03725</v>
      </c>
      <c r="L94" s="27">
        <f>(K94-G94)/G94+1</f>
        <v>1.1873798969072165</v>
      </c>
      <c r="M94" s="71"/>
      <c r="N94" s="72"/>
      <c r="O94" s="83" t="s">
        <v>178</v>
      </c>
      <c r="P94" s="73">
        <v>1</v>
      </c>
    </row>
    <row r="95" spans="1:16" x14ac:dyDescent="0.2">
      <c r="A95" s="20" t="s">
        <v>179</v>
      </c>
      <c r="B95" s="20" t="s">
        <v>44</v>
      </c>
      <c r="C95" s="21">
        <v>44033</v>
      </c>
      <c r="D95" s="20">
        <v>39</v>
      </c>
      <c r="E95" s="22">
        <v>1.1000000000000001</v>
      </c>
      <c r="F95" s="23">
        <v>8.92</v>
      </c>
      <c r="G95" s="24">
        <f t="shared" si="40"/>
        <v>316.25454545454545</v>
      </c>
      <c r="H95" s="25">
        <f>H88</f>
        <v>11.7</v>
      </c>
      <c r="I95" s="38">
        <v>0</v>
      </c>
      <c r="J95" s="20">
        <v>1.2079</v>
      </c>
      <c r="K95" s="24">
        <f t="shared" si="39"/>
        <v>377.76305985594837</v>
      </c>
      <c r="L95" s="27">
        <f t="shared" ref="L95:L108" si="41">(K95-G95)/G95</f>
        <v>0.1944905307621686</v>
      </c>
      <c r="M95" s="71"/>
      <c r="N95" s="72"/>
      <c r="O95" s="30" t="s">
        <v>180</v>
      </c>
      <c r="P95" s="84">
        <v>8</v>
      </c>
    </row>
    <row r="96" spans="1:16" x14ac:dyDescent="0.2">
      <c r="A96" s="20" t="s">
        <v>181</v>
      </c>
      <c r="B96" s="20" t="s">
        <v>182</v>
      </c>
      <c r="C96" s="21">
        <v>44197</v>
      </c>
      <c r="D96" s="20">
        <v>10</v>
      </c>
      <c r="E96" s="22">
        <v>1</v>
      </c>
      <c r="F96" s="85">
        <v>4.95</v>
      </c>
      <c r="G96" s="24">
        <f t="shared" si="40"/>
        <v>49.5</v>
      </c>
      <c r="H96" s="68">
        <f>[1]crypto!C24</f>
        <v>21.302600000000002</v>
      </c>
      <c r="I96" s="20">
        <v>0</v>
      </c>
      <c r="J96" s="22">
        <v>1</v>
      </c>
      <c r="K96" s="24">
        <f>((H96+I96)/J96)*D96</f>
        <v>213.02600000000001</v>
      </c>
      <c r="L96" s="27">
        <f t="shared" si="41"/>
        <v>3.3035555555555556</v>
      </c>
      <c r="M96" s="71"/>
      <c r="N96" s="72"/>
      <c r="O96" s="83" t="s">
        <v>183</v>
      </c>
      <c r="P96" s="73">
        <v>6</v>
      </c>
    </row>
    <row r="97" spans="1:16" x14ac:dyDescent="0.2">
      <c r="A97" s="20" t="s">
        <v>184</v>
      </c>
      <c r="B97" s="20" t="s">
        <v>185</v>
      </c>
      <c r="C97" s="21">
        <v>43102</v>
      </c>
      <c r="D97" s="20">
        <v>275</v>
      </c>
      <c r="E97" s="22">
        <v>1.51</v>
      </c>
      <c r="F97" s="23">
        <v>2.1800000000000002</v>
      </c>
      <c r="G97" s="24">
        <f t="shared" si="40"/>
        <v>397.01986754966885</v>
      </c>
      <c r="H97" s="47">
        <f>'[1]auto data'!S14</f>
        <v>5.16</v>
      </c>
      <c r="I97" s="20">
        <v>0</v>
      </c>
      <c r="J97" s="22">
        <f>C154</f>
        <v>1.3726835964310227</v>
      </c>
      <c r="K97" s="24">
        <f t="shared" si="39"/>
        <v>1033.7414999999999</v>
      </c>
      <c r="L97" s="27">
        <f t="shared" si="41"/>
        <v>1.6037525688073395</v>
      </c>
      <c r="M97" s="71"/>
      <c r="N97" s="72"/>
      <c r="O97" s="30" t="s">
        <v>186</v>
      </c>
      <c r="P97" s="73">
        <v>1</v>
      </c>
    </row>
    <row r="98" spans="1:16" x14ac:dyDescent="0.2">
      <c r="A98" s="20" t="s">
        <v>187</v>
      </c>
      <c r="B98" s="20" t="s">
        <v>188</v>
      </c>
      <c r="C98" s="21">
        <v>43822</v>
      </c>
      <c r="D98" s="20">
        <v>190</v>
      </c>
      <c r="E98" s="22">
        <v>1.51</v>
      </c>
      <c r="F98" s="23">
        <v>1.18</v>
      </c>
      <c r="G98" s="24">
        <f t="shared" si="40"/>
        <v>148.47682119205297</v>
      </c>
      <c r="H98" s="47">
        <f>'[1]auto data'!T15</f>
        <v>4.6410363761153057</v>
      </c>
      <c r="I98" s="20">
        <v>0</v>
      </c>
      <c r="J98" s="22">
        <f>C154</f>
        <v>1.3726835964310227</v>
      </c>
      <c r="K98" s="24">
        <f t="shared" si="39"/>
        <v>642.38905</v>
      </c>
      <c r="L98" s="27">
        <f t="shared" si="41"/>
        <v>3.3265275000000005</v>
      </c>
      <c r="M98" s="71"/>
      <c r="N98" s="72"/>
      <c r="O98" s="30" t="s">
        <v>186</v>
      </c>
      <c r="P98" s="73">
        <v>2</v>
      </c>
    </row>
    <row r="99" spans="1:16" x14ac:dyDescent="0.2">
      <c r="A99" s="20" t="s">
        <v>189</v>
      </c>
      <c r="B99" s="20" t="s">
        <v>122</v>
      </c>
      <c r="C99" s="21">
        <v>44550</v>
      </c>
      <c r="D99" s="20">
        <v>26</v>
      </c>
      <c r="E99" s="22">
        <v>1.1315</v>
      </c>
      <c r="F99" s="23">
        <v>4.2699999999999996</v>
      </c>
      <c r="G99" s="24">
        <f t="shared" si="40"/>
        <v>98.11754308440122</v>
      </c>
      <c r="H99" s="47">
        <f>H98</f>
        <v>4.6410363761153057</v>
      </c>
      <c r="I99" s="20">
        <v>0</v>
      </c>
      <c r="J99" s="22">
        <f>C154</f>
        <v>1.3726835964310227</v>
      </c>
      <c r="K99" s="24">
        <f t="shared" si="39"/>
        <v>87.905869999999993</v>
      </c>
      <c r="L99" s="27">
        <f t="shared" si="41"/>
        <v>-0.10407591510538633</v>
      </c>
      <c r="M99" s="28"/>
      <c r="N99" s="29"/>
      <c r="O99" s="30" t="s">
        <v>186</v>
      </c>
      <c r="P99" s="73" t="s">
        <v>190</v>
      </c>
    </row>
    <row r="100" spans="1:16" x14ac:dyDescent="0.2">
      <c r="A100" s="20" t="s">
        <v>191</v>
      </c>
      <c r="B100" s="20" t="s">
        <v>192</v>
      </c>
      <c r="C100" s="21">
        <v>43374</v>
      </c>
      <c r="D100" s="20">
        <v>700</v>
      </c>
      <c r="E100" s="22">
        <v>1.1499999999999999</v>
      </c>
      <c r="F100" s="23">
        <v>0.66</v>
      </c>
      <c r="G100" s="24">
        <f t="shared" si="40"/>
        <v>401.73913043478262</v>
      </c>
      <c r="H100" s="47">
        <f>'[1]auto data'!S16</f>
        <v>1.45</v>
      </c>
      <c r="I100" s="20">
        <v>0</v>
      </c>
      <c r="J100" s="20">
        <v>1.2088000000000001</v>
      </c>
      <c r="K100" s="24">
        <f t="shared" si="39"/>
        <v>839.67571144937119</v>
      </c>
      <c r="L100" s="27">
        <f t="shared" si="41"/>
        <v>1.0901018791488677</v>
      </c>
      <c r="M100" s="71"/>
      <c r="N100" s="72"/>
      <c r="O100" s="30" t="s">
        <v>186</v>
      </c>
      <c r="P100" s="73">
        <v>3</v>
      </c>
    </row>
    <row r="101" spans="1:16" x14ac:dyDescent="0.2">
      <c r="A101" s="20" t="s">
        <v>193</v>
      </c>
      <c r="B101" s="20" t="s">
        <v>192</v>
      </c>
      <c r="C101" s="21">
        <v>44586</v>
      </c>
      <c r="D101" s="20">
        <v>170</v>
      </c>
      <c r="E101" s="22">
        <v>1.1324000000000001</v>
      </c>
      <c r="F101" s="23">
        <v>1.1000000000000001</v>
      </c>
      <c r="G101" s="24">
        <f t="shared" si="40"/>
        <v>165.13599434828683</v>
      </c>
      <c r="H101" s="47">
        <f>'[1]auto data'!S16</f>
        <v>1.45</v>
      </c>
      <c r="I101" s="20">
        <v>0</v>
      </c>
      <c r="J101" s="22">
        <f>C153</f>
        <v>1.0795638562020944</v>
      </c>
      <c r="K101" s="24">
        <f t="shared" si="39"/>
        <v>228.33294999999998</v>
      </c>
      <c r="L101" s="27">
        <f t="shared" si="41"/>
        <v>0.38269643090909078</v>
      </c>
      <c r="M101" s="28"/>
      <c r="N101" s="29"/>
      <c r="O101" s="30" t="s">
        <v>186</v>
      </c>
      <c r="P101" s="86" t="s">
        <v>194</v>
      </c>
    </row>
    <row r="102" spans="1:16" x14ac:dyDescent="0.2">
      <c r="A102" s="20" t="s">
        <v>195</v>
      </c>
      <c r="B102" s="20" t="s">
        <v>196</v>
      </c>
      <c r="C102" s="21">
        <v>43854</v>
      </c>
      <c r="D102" s="20">
        <v>50</v>
      </c>
      <c r="E102" s="22">
        <v>1.46</v>
      </c>
      <c r="F102" s="20">
        <v>3.71</v>
      </c>
      <c r="G102" s="24">
        <f t="shared" si="40"/>
        <v>127.05479452054794</v>
      </c>
      <c r="H102" s="47">
        <f>'[1]auto data'!S17</f>
        <v>10.79</v>
      </c>
      <c r="I102" s="20">
        <v>0</v>
      </c>
      <c r="J102" s="22">
        <f>C154</f>
        <v>1.3726835964310227</v>
      </c>
      <c r="K102" s="24">
        <f t="shared" si="39"/>
        <v>393.02574999999996</v>
      </c>
      <c r="L102" s="27">
        <f t="shared" si="41"/>
        <v>2.0933563072776278</v>
      </c>
      <c r="M102" s="71">
        <f>12.54*(1-N102)</f>
        <v>9.4049999999999994</v>
      </c>
      <c r="N102" s="72">
        <v>0.25</v>
      </c>
      <c r="O102" s="30" t="s">
        <v>197</v>
      </c>
      <c r="P102" s="84">
        <v>2</v>
      </c>
    </row>
    <row r="103" spans="1:16" x14ac:dyDescent="0.2">
      <c r="A103" s="20" t="s">
        <v>198</v>
      </c>
      <c r="B103" s="20" t="s">
        <v>124</v>
      </c>
      <c r="C103" s="21">
        <v>44229</v>
      </c>
      <c r="D103" s="20">
        <v>75</v>
      </c>
      <c r="E103" s="22">
        <v>1.2022999999999999</v>
      </c>
      <c r="F103" s="23">
        <v>1.74</v>
      </c>
      <c r="G103" s="24">
        <f t="shared" si="40"/>
        <v>108.54196124095485</v>
      </c>
      <c r="H103" s="47">
        <f>'[1]auto data'!S18</f>
        <v>4.53</v>
      </c>
      <c r="I103" s="20">
        <v>0</v>
      </c>
      <c r="J103" s="22">
        <f>C153</f>
        <v>1.0795638562020944</v>
      </c>
      <c r="K103" s="24">
        <f t="shared" si="39"/>
        <v>314.71042500000004</v>
      </c>
      <c r="L103" s="27">
        <f t="shared" si="41"/>
        <v>1.8994355860344829</v>
      </c>
      <c r="M103" s="28"/>
      <c r="N103" s="29"/>
      <c r="O103" s="30" t="s">
        <v>186</v>
      </c>
      <c r="P103" s="73">
        <v>4</v>
      </c>
    </row>
    <row r="104" spans="1:16" x14ac:dyDescent="0.2">
      <c r="A104" s="20" t="s">
        <v>199</v>
      </c>
      <c r="B104" s="20" t="s">
        <v>124</v>
      </c>
      <c r="C104" s="21">
        <v>44589</v>
      </c>
      <c r="D104" s="20">
        <v>50</v>
      </c>
      <c r="E104" s="22">
        <v>1.1152</v>
      </c>
      <c r="F104" s="87">
        <v>2.42</v>
      </c>
      <c r="G104" s="24">
        <f t="shared" si="40"/>
        <v>108.50071736011478</v>
      </c>
      <c r="H104" s="47">
        <f>'[1]auto data'!S18</f>
        <v>4.53</v>
      </c>
      <c r="I104" s="20">
        <v>0</v>
      </c>
      <c r="J104" s="22">
        <f>C153</f>
        <v>1.0795638562020944</v>
      </c>
      <c r="K104" s="24">
        <f t="shared" si="39"/>
        <v>209.80695000000003</v>
      </c>
      <c r="L104" s="48">
        <f t="shared" si="41"/>
        <v>0.93369182347107471</v>
      </c>
      <c r="M104" s="28"/>
      <c r="N104" s="29"/>
      <c r="O104" s="30" t="s">
        <v>186</v>
      </c>
      <c r="P104" s="73" t="s">
        <v>200</v>
      </c>
    </row>
    <row r="105" spans="1:16" x14ac:dyDescent="0.2">
      <c r="A105" s="20" t="s">
        <v>201</v>
      </c>
      <c r="B105" s="20" t="s">
        <v>202</v>
      </c>
      <c r="C105" s="21">
        <v>43874</v>
      </c>
      <c r="D105" s="20">
        <v>300</v>
      </c>
      <c r="E105" s="22">
        <v>1.44</v>
      </c>
      <c r="F105" s="20">
        <v>0.37</v>
      </c>
      <c r="G105" s="24">
        <f>(F105*D105)/E105</f>
        <v>77.083333333333343</v>
      </c>
      <c r="H105" s="55">
        <f>'[1]auto data'!P3</f>
        <v>0.41</v>
      </c>
      <c r="I105" s="20">
        <v>0</v>
      </c>
      <c r="J105" s="22">
        <f>C154</f>
        <v>1.3726835964310227</v>
      </c>
      <c r="K105" s="24">
        <f t="shared" si="39"/>
        <v>89.605499999999992</v>
      </c>
      <c r="L105" s="27">
        <f t="shared" si="41"/>
        <v>0.16244972972972949</v>
      </c>
      <c r="M105" s="28"/>
      <c r="N105" s="29"/>
      <c r="O105" s="30" t="s">
        <v>197</v>
      </c>
      <c r="P105" s="73">
        <v>3</v>
      </c>
    </row>
    <row r="106" spans="1:16" x14ac:dyDescent="0.2">
      <c r="A106" s="20" t="s">
        <v>203</v>
      </c>
      <c r="B106" s="20" t="s">
        <v>204</v>
      </c>
      <c r="C106" s="21">
        <v>44294</v>
      </c>
      <c r="D106" s="20">
        <v>50</v>
      </c>
      <c r="E106" s="22">
        <v>1</v>
      </c>
      <c r="F106" s="85">
        <v>1.03</v>
      </c>
      <c r="G106" s="24">
        <f>(F106*D106)/E106</f>
        <v>51.5</v>
      </c>
      <c r="H106" s="68">
        <f>[1]crypto!C6</f>
        <v>0.82672612000000001</v>
      </c>
      <c r="I106" s="70">
        <v>1.88</v>
      </c>
      <c r="J106" s="22">
        <v>1</v>
      </c>
      <c r="K106" s="24">
        <f>((H106)/J106)*D106+I106</f>
        <v>43.216306000000003</v>
      </c>
      <c r="L106" s="27">
        <f t="shared" si="41"/>
        <v>-0.16084842718446596</v>
      </c>
      <c r="M106" s="28"/>
      <c r="N106" s="29"/>
      <c r="O106" s="30" t="s">
        <v>183</v>
      </c>
      <c r="P106" s="73">
        <v>11</v>
      </c>
    </row>
    <row r="107" spans="1:16" x14ac:dyDescent="0.2">
      <c r="A107" s="20" t="s">
        <v>205</v>
      </c>
      <c r="B107" s="20" t="s">
        <v>206</v>
      </c>
      <c r="C107" s="21">
        <v>44287</v>
      </c>
      <c r="D107" s="20">
        <v>750</v>
      </c>
      <c r="E107" s="22">
        <v>1.55</v>
      </c>
      <c r="F107" s="23">
        <v>0.37</v>
      </c>
      <c r="G107" s="24">
        <f t="shared" ref="G107:G121" si="42">(F107*D107)/E107</f>
        <v>179.03225806451613</v>
      </c>
      <c r="H107" s="47">
        <f>'[1]auto data'!S19</f>
        <v>0.82499999999999996</v>
      </c>
      <c r="I107" s="20">
        <v>0</v>
      </c>
      <c r="J107" s="22">
        <f>C155</f>
        <v>1.4916467780429594</v>
      </c>
      <c r="K107" s="24">
        <f t="shared" si="39"/>
        <v>414.81</v>
      </c>
      <c r="L107" s="27">
        <f t="shared" si="41"/>
        <v>1.3169567567567568</v>
      </c>
      <c r="M107" s="28"/>
      <c r="N107" s="29"/>
      <c r="O107" s="30" t="s">
        <v>186</v>
      </c>
      <c r="P107" s="73">
        <v>5</v>
      </c>
    </row>
    <row r="108" spans="1:16" x14ac:dyDescent="0.2">
      <c r="A108" s="20" t="s">
        <v>207</v>
      </c>
      <c r="B108" s="20" t="s">
        <v>208</v>
      </c>
      <c r="C108" s="21">
        <v>44229</v>
      </c>
      <c r="D108" s="20">
        <v>75</v>
      </c>
      <c r="E108" s="22">
        <v>1.55</v>
      </c>
      <c r="F108" s="23">
        <v>2</v>
      </c>
      <c r="G108" s="24">
        <f t="shared" si="42"/>
        <v>96.774193548387089</v>
      </c>
      <c r="H108" s="47">
        <f>'[1]auto data'!M3</f>
        <v>4.93</v>
      </c>
      <c r="I108" s="20">
        <v>0</v>
      </c>
      <c r="J108" s="22">
        <f>C154</f>
        <v>1.3726835964310227</v>
      </c>
      <c r="K108" s="24">
        <f t="shared" si="39"/>
        <v>269.36287499999997</v>
      </c>
      <c r="L108" s="27">
        <f t="shared" si="41"/>
        <v>1.7834163750000001</v>
      </c>
      <c r="M108" s="28"/>
      <c r="N108" s="29"/>
      <c r="O108" s="30" t="s">
        <v>186</v>
      </c>
      <c r="P108" s="73">
        <v>6</v>
      </c>
    </row>
    <row r="109" spans="1:16" x14ac:dyDescent="0.2">
      <c r="A109" s="20" t="s">
        <v>209</v>
      </c>
      <c r="B109" s="20" t="s">
        <v>210</v>
      </c>
      <c r="C109" s="21">
        <v>44321</v>
      </c>
      <c r="D109" s="20">
        <v>2000</v>
      </c>
      <c r="E109" s="22">
        <v>1.5603</v>
      </c>
      <c r="F109" s="23">
        <v>0.14000000000000001</v>
      </c>
      <c r="G109" s="24">
        <f t="shared" si="42"/>
        <v>179.45266935845672</v>
      </c>
      <c r="H109" s="47">
        <f>'[1]auto data'!S20</f>
        <v>0.245</v>
      </c>
      <c r="I109" s="20">
        <v>0</v>
      </c>
      <c r="J109" s="22">
        <f>C155</f>
        <v>1.4916467780429594</v>
      </c>
      <c r="K109" s="24">
        <f>((H109+I109)/J109)*D109</f>
        <v>328.49600000000004</v>
      </c>
      <c r="L109" s="27">
        <f>(K109-G109)/G109</f>
        <v>0.83054396000000008</v>
      </c>
      <c r="M109" s="28"/>
      <c r="N109" s="19"/>
      <c r="O109" s="73" t="s">
        <v>186</v>
      </c>
      <c r="P109" s="73">
        <v>7</v>
      </c>
    </row>
    <row r="110" spans="1:16" x14ac:dyDescent="0.2">
      <c r="A110" s="20" t="s">
        <v>211</v>
      </c>
      <c r="B110" s="20" t="s">
        <v>212</v>
      </c>
      <c r="C110" s="21">
        <v>44281</v>
      </c>
      <c r="D110" s="20">
        <v>2000</v>
      </c>
      <c r="E110" s="22">
        <v>1.55</v>
      </c>
      <c r="F110" s="23">
        <v>0.13</v>
      </c>
      <c r="G110" s="24">
        <f t="shared" si="42"/>
        <v>167.74193548387098</v>
      </c>
      <c r="H110" s="47">
        <f>'[1]auto data'!M7</f>
        <v>0.26250000000000001</v>
      </c>
      <c r="I110" s="20">
        <v>0</v>
      </c>
      <c r="J110" s="22">
        <f>C155</f>
        <v>1.4916467780429594</v>
      </c>
      <c r="K110" s="24">
        <f t="shared" ref="K110" si="43">((H110+I110)/J110)*D110</f>
        <v>351.96</v>
      </c>
      <c r="L110" s="27">
        <f t="shared" ref="L110" si="44">(K110-G110)/G110</f>
        <v>1.0982230769230767</v>
      </c>
      <c r="M110" s="28"/>
      <c r="N110" s="19"/>
      <c r="O110" s="73" t="s">
        <v>186</v>
      </c>
      <c r="P110" s="73">
        <v>8</v>
      </c>
    </row>
    <row r="111" spans="1:16" x14ac:dyDescent="0.2">
      <c r="A111" s="20" t="s">
        <v>213</v>
      </c>
      <c r="B111" s="20" t="s">
        <v>214</v>
      </c>
      <c r="C111" s="21">
        <v>44321</v>
      </c>
      <c r="D111" s="20">
        <v>1500</v>
      </c>
      <c r="E111" s="22">
        <v>1.4799</v>
      </c>
      <c r="F111" s="23">
        <v>0.1</v>
      </c>
      <c r="G111" s="24">
        <f t="shared" si="42"/>
        <v>101.35819987837016</v>
      </c>
      <c r="H111" s="47">
        <f>'[1]auto data'!M10</f>
        <v>0.11</v>
      </c>
      <c r="I111" s="20">
        <v>0</v>
      </c>
      <c r="J111" s="22">
        <f>C154</f>
        <v>1.3726835964310227</v>
      </c>
      <c r="K111" s="24">
        <f>((H111+I111)/J111)*D111</f>
        <v>120.2025</v>
      </c>
      <c r="L111" s="27">
        <f>(K111-G111)/G111</f>
        <v>0.18591786500000004</v>
      </c>
      <c r="M111" s="28"/>
      <c r="N111" s="19"/>
      <c r="O111" s="73" t="s">
        <v>186</v>
      </c>
      <c r="P111" s="73">
        <v>9</v>
      </c>
    </row>
    <row r="112" spans="1:16" x14ac:dyDescent="0.2">
      <c r="A112" s="20" t="s">
        <v>215</v>
      </c>
      <c r="B112" s="20" t="s">
        <v>216</v>
      </c>
      <c r="C112" s="21">
        <v>44264</v>
      </c>
      <c r="D112" s="20">
        <v>13.5</v>
      </c>
      <c r="E112" s="22">
        <v>1</v>
      </c>
      <c r="F112" s="85">
        <v>3.72</v>
      </c>
      <c r="G112" s="24">
        <f t="shared" si="42"/>
        <v>50.220000000000006</v>
      </c>
      <c r="H112" s="68">
        <f>[1]crypto!C9</f>
        <v>2.7906406000000001</v>
      </c>
      <c r="I112" s="20">
        <v>0</v>
      </c>
      <c r="J112" s="22">
        <v>1</v>
      </c>
      <c r="K112" s="24">
        <f t="shared" ref="K112:K113" si="45">((H112+I112)/J112)*D112</f>
        <v>37.673648100000001</v>
      </c>
      <c r="L112" s="27">
        <f t="shared" ref="L112:L113" si="46">(K112-G112)/G112</f>
        <v>-0.2498277956989248</v>
      </c>
      <c r="M112" s="28"/>
      <c r="N112" s="19"/>
      <c r="O112" s="73" t="s">
        <v>183</v>
      </c>
      <c r="P112" s="73">
        <v>12</v>
      </c>
    </row>
    <row r="113" spans="1:16" x14ac:dyDescent="0.2">
      <c r="A113" s="20" t="s">
        <v>217</v>
      </c>
      <c r="B113" s="20" t="s">
        <v>218</v>
      </c>
      <c r="C113" s="21">
        <v>44216</v>
      </c>
      <c r="D113" s="20">
        <v>150</v>
      </c>
      <c r="E113" s="22">
        <v>1.55</v>
      </c>
      <c r="F113" s="23">
        <v>1.59</v>
      </c>
      <c r="G113" s="24">
        <f t="shared" si="42"/>
        <v>153.87096774193549</v>
      </c>
      <c r="H113" s="35">
        <f>'[1]auto data'!J36</f>
        <v>2.2999999999999998</v>
      </c>
      <c r="I113" s="20">
        <v>0</v>
      </c>
      <c r="J113" s="22">
        <f>C154</f>
        <v>1.3726835964310227</v>
      </c>
      <c r="K113" s="24">
        <f t="shared" si="45"/>
        <v>251.33249999999998</v>
      </c>
      <c r="L113" s="27">
        <f t="shared" si="46"/>
        <v>0.6333977987421382</v>
      </c>
      <c r="M113" s="28"/>
      <c r="N113" s="29"/>
      <c r="O113" s="30" t="s">
        <v>178</v>
      </c>
      <c r="P113" s="73">
        <v>2</v>
      </c>
    </row>
    <row r="114" spans="1:16" x14ac:dyDescent="0.2">
      <c r="A114" s="20" t="s">
        <v>219</v>
      </c>
      <c r="B114" s="20" t="s">
        <v>220</v>
      </c>
      <c r="C114" s="21">
        <v>44309</v>
      </c>
      <c r="D114" s="20">
        <v>130</v>
      </c>
      <c r="E114" s="22">
        <v>1</v>
      </c>
      <c r="F114" s="85">
        <v>0.76400000000000001</v>
      </c>
      <c r="G114" s="24">
        <f t="shared" si="42"/>
        <v>99.320000000000007</v>
      </c>
      <c r="H114" s="68">
        <f>[1]crypto!C13</f>
        <v>1.8755550000000001</v>
      </c>
      <c r="I114" s="20">
        <v>0</v>
      </c>
      <c r="J114" s="22">
        <v>1</v>
      </c>
      <c r="K114" s="24">
        <f>((H114+I114)/J114)*D114</f>
        <v>243.82215000000002</v>
      </c>
      <c r="L114" s="27">
        <f>(K114-G114)/G114</f>
        <v>1.4549149214659687</v>
      </c>
      <c r="M114" s="28"/>
      <c r="N114" s="29"/>
      <c r="O114" s="30" t="s">
        <v>183</v>
      </c>
      <c r="P114" s="73">
        <v>12</v>
      </c>
    </row>
    <row r="115" spans="1:16" x14ac:dyDescent="0.2">
      <c r="A115" s="20" t="s">
        <v>221</v>
      </c>
      <c r="B115" s="20" t="s">
        <v>222</v>
      </c>
      <c r="C115" s="21">
        <v>44270</v>
      </c>
      <c r="D115" s="20">
        <v>75</v>
      </c>
      <c r="E115" s="22">
        <v>1.49</v>
      </c>
      <c r="F115" s="23">
        <v>2.19</v>
      </c>
      <c r="G115" s="24">
        <f t="shared" si="42"/>
        <v>110.23489932885906</v>
      </c>
      <c r="H115" s="47">
        <f>'[1]auto data'!M5</f>
        <v>4.0199999999999996</v>
      </c>
      <c r="I115" s="20">
        <v>0</v>
      </c>
      <c r="J115" s="22">
        <f>C154</f>
        <v>1.3726835964310227</v>
      </c>
      <c r="K115" s="24">
        <f t="shared" ref="K115:K121" si="47">((H115+I115)/J115)*D115</f>
        <v>219.64274999999998</v>
      </c>
      <c r="L115" s="27">
        <f t="shared" ref="L115:L121" si="48">(K115-G115)/G115</f>
        <v>0.99249739726027386</v>
      </c>
      <c r="M115" s="28"/>
      <c r="N115" s="29"/>
      <c r="O115" s="30" t="s">
        <v>186</v>
      </c>
      <c r="P115" s="73">
        <v>10</v>
      </c>
    </row>
    <row r="116" spans="1:16" x14ac:dyDescent="0.2">
      <c r="A116" s="20" t="s">
        <v>223</v>
      </c>
      <c r="B116" s="20" t="s">
        <v>120</v>
      </c>
      <c r="C116" s="21">
        <v>44278</v>
      </c>
      <c r="D116" s="20">
        <v>50</v>
      </c>
      <c r="E116" s="22">
        <v>1.1825000000000001</v>
      </c>
      <c r="F116" s="23">
        <v>4.8099999999999996</v>
      </c>
      <c r="G116" s="24">
        <f t="shared" si="42"/>
        <v>203.38266384778009</v>
      </c>
      <c r="H116" s="47">
        <f>'[1]auto data'!M6</f>
        <v>8.19</v>
      </c>
      <c r="I116" s="20">
        <v>0</v>
      </c>
      <c r="J116" s="22">
        <f>C153</f>
        <v>1.0795638562020944</v>
      </c>
      <c r="K116" s="24">
        <f t="shared" si="47"/>
        <v>379.31984999999997</v>
      </c>
      <c r="L116" s="27">
        <f t="shared" si="48"/>
        <v>0.86505497972972989</v>
      </c>
      <c r="M116" s="28"/>
      <c r="N116" s="29"/>
      <c r="O116" s="30" t="s">
        <v>186</v>
      </c>
      <c r="P116" s="73">
        <v>11</v>
      </c>
    </row>
    <row r="117" spans="1:16" x14ac:dyDescent="0.2">
      <c r="A117" s="20" t="s">
        <v>224</v>
      </c>
      <c r="B117" s="20" t="s">
        <v>120</v>
      </c>
      <c r="C117" s="21">
        <v>44550</v>
      </c>
      <c r="D117" s="20">
        <v>41</v>
      </c>
      <c r="E117" s="22">
        <v>1.1258999999999999</v>
      </c>
      <c r="F117" s="23">
        <v>6.4950000000000001</v>
      </c>
      <c r="G117" s="24">
        <f t="shared" si="42"/>
        <v>236.51745270450309</v>
      </c>
      <c r="H117" s="47">
        <f>H116</f>
        <v>8.19</v>
      </c>
      <c r="I117" s="20">
        <v>0</v>
      </c>
      <c r="J117" s="22">
        <f>C153</f>
        <v>1.0795638562020944</v>
      </c>
      <c r="K117" s="24">
        <f>((H117+I117)/J117)*D117</f>
        <v>311.04227699999996</v>
      </c>
      <c r="L117" s="27">
        <f t="shared" si="48"/>
        <v>0.31509228364896041</v>
      </c>
      <c r="M117" s="28"/>
      <c r="N117" s="29"/>
      <c r="O117" s="30" t="s">
        <v>186</v>
      </c>
      <c r="P117" s="88" t="s">
        <v>225</v>
      </c>
    </row>
    <row r="118" spans="1:16" x14ac:dyDescent="0.2">
      <c r="A118" s="20" t="s">
        <v>226</v>
      </c>
      <c r="B118" s="20" t="s">
        <v>227</v>
      </c>
      <c r="C118" s="21">
        <v>44253</v>
      </c>
      <c r="D118" s="20">
        <v>200</v>
      </c>
      <c r="E118" s="22">
        <v>1.52</v>
      </c>
      <c r="F118" s="23">
        <v>1.05</v>
      </c>
      <c r="G118" s="24">
        <f t="shared" si="42"/>
        <v>138.15789473684211</v>
      </c>
      <c r="H118" s="47">
        <f>'[1]auto data'!M4</f>
        <v>1.43</v>
      </c>
      <c r="I118" s="20">
        <v>0</v>
      </c>
      <c r="J118" s="22">
        <f>C153</f>
        <v>1.0795638562020944</v>
      </c>
      <c r="K118" s="24">
        <f t="shared" si="47"/>
        <v>264.92179999999996</v>
      </c>
      <c r="L118" s="27">
        <f t="shared" si="48"/>
        <v>0.91752921904761875</v>
      </c>
      <c r="M118" s="28"/>
      <c r="N118" s="89"/>
      <c r="O118" s="30" t="s">
        <v>186</v>
      </c>
      <c r="P118" s="73">
        <v>12</v>
      </c>
    </row>
    <row r="119" spans="1:16" x14ac:dyDescent="0.2">
      <c r="A119" s="20" t="s">
        <v>228</v>
      </c>
      <c r="B119" s="20" t="s">
        <v>227</v>
      </c>
      <c r="C119" s="21">
        <v>44582</v>
      </c>
      <c r="D119" s="20">
        <v>100</v>
      </c>
      <c r="E119" s="22">
        <v>1.1346000000000001</v>
      </c>
      <c r="F119" s="23">
        <v>1.2</v>
      </c>
      <c r="G119" s="24">
        <f t="shared" si="42"/>
        <v>105.76414595452141</v>
      </c>
      <c r="H119" s="47">
        <f>'[1]auto data'!M4</f>
        <v>1.43</v>
      </c>
      <c r="I119" s="20">
        <v>0</v>
      </c>
      <c r="J119" s="22">
        <f>C153</f>
        <v>1.0795638562020944</v>
      </c>
      <c r="K119" s="24">
        <f t="shared" si="47"/>
        <v>132.46089999999998</v>
      </c>
      <c r="L119" s="27">
        <f t="shared" si="48"/>
        <v>0.25241780949999992</v>
      </c>
      <c r="M119" s="28"/>
      <c r="N119" s="29"/>
      <c r="O119" s="30" t="s">
        <v>186</v>
      </c>
      <c r="P119" s="73" t="s">
        <v>229</v>
      </c>
    </row>
    <row r="120" spans="1:16" x14ac:dyDescent="0.2">
      <c r="A120" s="20" t="s">
        <v>230</v>
      </c>
      <c r="B120" s="20" t="s">
        <v>231</v>
      </c>
      <c r="C120" s="21">
        <v>44350</v>
      </c>
      <c r="D120" s="20">
        <v>187</v>
      </c>
      <c r="E120" s="22">
        <v>1.57</v>
      </c>
      <c r="F120" s="23">
        <v>1.4</v>
      </c>
      <c r="G120" s="24">
        <f t="shared" si="42"/>
        <v>166.75159235668789</v>
      </c>
      <c r="H120" s="47">
        <f>'[1]auto data'!M12</f>
        <v>2.75</v>
      </c>
      <c r="I120" s="20">
        <v>0</v>
      </c>
      <c r="J120" s="22">
        <f>C155</f>
        <v>1.4916467780429594</v>
      </c>
      <c r="K120" s="24">
        <f t="shared" si="47"/>
        <v>344.75319999999999</v>
      </c>
      <c r="L120" s="27">
        <f t="shared" si="48"/>
        <v>1.0674657142857142</v>
      </c>
      <c r="M120" s="28"/>
      <c r="N120" s="29"/>
      <c r="O120" s="30" t="s">
        <v>186</v>
      </c>
      <c r="P120" s="73">
        <v>13</v>
      </c>
    </row>
    <row r="121" spans="1:16" x14ac:dyDescent="0.2">
      <c r="A121" s="49" t="s">
        <v>232</v>
      </c>
      <c r="B121" s="20" t="s">
        <v>233</v>
      </c>
      <c r="C121" s="21">
        <v>44054</v>
      </c>
      <c r="D121" s="20">
        <v>50</v>
      </c>
      <c r="E121" s="22">
        <v>1.58</v>
      </c>
      <c r="F121" s="23">
        <v>3.64</v>
      </c>
      <c r="G121" s="24">
        <f t="shared" si="42"/>
        <v>115.18987341772151</v>
      </c>
      <c r="H121" s="25">
        <f>'[1]auto data'!J26</f>
        <v>6.5</v>
      </c>
      <c r="I121" s="20">
        <v>0</v>
      </c>
      <c r="J121" s="22">
        <f>C154</f>
        <v>1.3726835964310227</v>
      </c>
      <c r="K121" s="24">
        <f t="shared" si="47"/>
        <v>236.76249999999999</v>
      </c>
      <c r="L121" s="27">
        <f t="shared" si="48"/>
        <v>1.0554107142857143</v>
      </c>
      <c r="M121" s="28"/>
      <c r="N121" s="29"/>
      <c r="O121" s="30" t="s">
        <v>178</v>
      </c>
      <c r="P121" s="90">
        <v>3</v>
      </c>
    </row>
    <row r="122" spans="1:16" x14ac:dyDescent="0.2">
      <c r="A122" s="91" t="s">
        <v>234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3"/>
    </row>
    <row r="123" spans="1:16" x14ac:dyDescent="0.2">
      <c r="A123" s="94" t="s">
        <v>235</v>
      </c>
      <c r="B123" s="13" t="s">
        <v>236</v>
      </c>
      <c r="C123" s="14" t="s">
        <v>237</v>
      </c>
      <c r="D123" s="13"/>
      <c r="E123" s="95"/>
      <c r="F123" s="96"/>
      <c r="G123" s="97"/>
      <c r="H123" s="98"/>
      <c r="I123" s="13"/>
      <c r="J123" s="95"/>
      <c r="K123" s="97" t="s">
        <v>140</v>
      </c>
      <c r="L123" s="27"/>
      <c r="M123" s="28"/>
      <c r="N123" s="29"/>
      <c r="O123" s="30"/>
      <c r="P123" s="73"/>
    </row>
    <row r="124" spans="1:16" x14ac:dyDescent="0.2">
      <c r="A124" s="13" t="s">
        <v>238</v>
      </c>
      <c r="B124" s="20"/>
      <c r="C124" s="21"/>
      <c r="D124" s="78"/>
      <c r="E124" s="79"/>
      <c r="F124" s="20"/>
      <c r="G124" s="38"/>
      <c r="H124" s="26"/>
      <c r="I124" s="80"/>
      <c r="J124" s="79"/>
      <c r="K124" s="24">
        <v>8467</v>
      </c>
      <c r="L124" s="99"/>
      <c r="M124" s="73"/>
      <c r="N124" s="29"/>
      <c r="O124" s="30"/>
      <c r="P124" s="73"/>
    </row>
    <row r="125" spans="1:16" x14ac:dyDescent="0.2">
      <c r="A125" s="13" t="s">
        <v>239</v>
      </c>
      <c r="B125" s="20"/>
      <c r="C125" s="21"/>
      <c r="D125" s="78"/>
      <c r="E125" s="79"/>
      <c r="F125" s="20"/>
      <c r="G125" s="38"/>
      <c r="H125" s="26"/>
      <c r="I125" s="80"/>
      <c r="J125" s="79"/>
      <c r="K125" s="24">
        <v>19016</v>
      </c>
      <c r="L125" s="99"/>
      <c r="M125" s="73"/>
      <c r="N125" s="29"/>
      <c r="O125" s="30"/>
      <c r="P125" s="73"/>
    </row>
    <row r="126" spans="1:16" x14ac:dyDescent="0.2">
      <c r="A126" s="13" t="s">
        <v>240</v>
      </c>
      <c r="B126" s="20"/>
      <c r="C126" s="21"/>
      <c r="D126" s="20"/>
      <c r="E126" s="22"/>
      <c r="F126" s="23"/>
      <c r="G126" s="24"/>
      <c r="H126" s="100"/>
      <c r="I126" s="26"/>
      <c r="J126" s="22"/>
      <c r="K126" s="24">
        <v>110</v>
      </c>
      <c r="L126" s="27"/>
      <c r="M126" s="28"/>
      <c r="N126" s="29"/>
      <c r="O126" s="30"/>
      <c r="P126" s="32"/>
    </row>
    <row r="127" spans="1:16" x14ac:dyDescent="0.2">
      <c r="A127" s="20" t="s">
        <v>241</v>
      </c>
      <c r="B127" s="20" t="s">
        <v>242</v>
      </c>
      <c r="C127" s="24"/>
      <c r="D127" s="20"/>
      <c r="E127" s="22"/>
      <c r="F127" s="85"/>
      <c r="G127" s="24"/>
      <c r="H127" s="29"/>
      <c r="I127" s="20"/>
      <c r="J127" s="22"/>
      <c r="K127" s="24">
        <v>-130.50349999999997</v>
      </c>
      <c r="L127" s="33"/>
      <c r="M127" s="28"/>
      <c r="N127" s="29"/>
      <c r="O127" s="30"/>
      <c r="P127" s="32"/>
    </row>
    <row r="128" spans="1:16" x14ac:dyDescent="0.2">
      <c r="A128" s="20" t="s">
        <v>243</v>
      </c>
      <c r="B128" s="20" t="s">
        <v>244</v>
      </c>
      <c r="C128" s="24"/>
      <c r="D128" s="20"/>
      <c r="E128" s="22"/>
      <c r="F128" s="85"/>
      <c r="G128" s="24"/>
      <c r="H128" s="29"/>
      <c r="I128" s="20"/>
      <c r="J128" s="22"/>
      <c r="K128" s="24">
        <v>-74.56</v>
      </c>
      <c r="L128" s="33"/>
      <c r="M128" s="28"/>
      <c r="N128" s="29"/>
      <c r="O128" s="30"/>
      <c r="P128" s="32"/>
    </row>
    <row r="129" spans="1:16" x14ac:dyDescent="0.2">
      <c r="A129" s="20" t="s">
        <v>245</v>
      </c>
      <c r="B129" s="20" t="s">
        <v>246</v>
      </c>
      <c r="C129" s="24"/>
      <c r="D129" s="20"/>
      <c r="E129" s="22"/>
      <c r="F129" s="26"/>
      <c r="G129" s="24"/>
      <c r="H129" s="29"/>
      <c r="I129" s="20"/>
      <c r="J129" s="22"/>
      <c r="K129" s="24">
        <v>-31.677899999999994</v>
      </c>
      <c r="L129" s="33"/>
      <c r="M129" s="28"/>
      <c r="N129" s="29"/>
      <c r="O129" s="30"/>
      <c r="P129" s="32"/>
    </row>
    <row r="130" spans="1:16" x14ac:dyDescent="0.2">
      <c r="A130" s="20" t="s">
        <v>247</v>
      </c>
      <c r="B130" s="20" t="s">
        <v>248</v>
      </c>
      <c r="C130" s="24"/>
      <c r="D130" s="20"/>
      <c r="E130" s="22"/>
      <c r="F130" s="38"/>
      <c r="G130" s="24"/>
      <c r="H130" s="57"/>
      <c r="I130" s="20"/>
      <c r="J130" s="22"/>
      <c r="K130" s="24">
        <v>-32.838000000000008</v>
      </c>
      <c r="L130" s="33"/>
      <c r="M130" s="28"/>
      <c r="N130" s="29"/>
      <c r="O130" s="30"/>
      <c r="P130" s="32"/>
    </row>
    <row r="131" spans="1:16" x14ac:dyDescent="0.2">
      <c r="A131" s="20" t="s">
        <v>249</v>
      </c>
      <c r="B131" s="20" t="s">
        <v>250</v>
      </c>
      <c r="C131" s="24"/>
      <c r="D131" s="20"/>
      <c r="E131" s="22"/>
      <c r="F131" s="22"/>
      <c r="G131" s="24"/>
      <c r="H131" s="101"/>
      <c r="I131" s="20"/>
      <c r="J131" s="22"/>
      <c r="K131" s="24">
        <v>-49.522499999999987</v>
      </c>
      <c r="L131" s="33"/>
      <c r="M131" s="28"/>
      <c r="N131" s="29"/>
      <c r="O131" s="30"/>
      <c r="P131" s="32"/>
    </row>
    <row r="132" spans="1:16" x14ac:dyDescent="0.2">
      <c r="A132" s="20" t="s">
        <v>251</v>
      </c>
      <c r="B132" s="20" t="s">
        <v>161</v>
      </c>
      <c r="C132" s="24"/>
      <c r="D132" s="20"/>
      <c r="E132" s="22"/>
      <c r="F132" s="22"/>
      <c r="G132" s="24"/>
      <c r="H132" s="29"/>
      <c r="I132" s="20"/>
      <c r="J132" s="22"/>
      <c r="K132" s="24">
        <v>4.5900000000000034</v>
      </c>
      <c r="L132" s="27"/>
      <c r="M132" s="28"/>
      <c r="N132" s="29"/>
      <c r="O132" s="30"/>
      <c r="P132" s="32"/>
    </row>
    <row r="133" spans="1:16" x14ac:dyDescent="0.2">
      <c r="A133" s="20" t="s">
        <v>252</v>
      </c>
      <c r="B133" s="20" t="s">
        <v>253</v>
      </c>
      <c r="C133" s="24"/>
      <c r="D133" s="20"/>
      <c r="E133" s="22"/>
      <c r="F133" s="26"/>
      <c r="G133" s="24"/>
      <c r="H133" s="29"/>
      <c r="I133" s="20"/>
      <c r="J133" s="22"/>
      <c r="K133" s="24">
        <v>-56.506000000000007</v>
      </c>
      <c r="L133" s="33"/>
      <c r="M133" s="28"/>
      <c r="N133" s="29"/>
      <c r="O133" s="30"/>
      <c r="P133" s="32"/>
    </row>
    <row r="134" spans="1:16" x14ac:dyDescent="0.2">
      <c r="A134" s="20" t="s">
        <v>254</v>
      </c>
      <c r="B134" s="20" t="s">
        <v>255</v>
      </c>
      <c r="C134" s="24"/>
      <c r="D134" s="20"/>
      <c r="E134" s="22"/>
      <c r="F134" s="26"/>
      <c r="G134" s="24"/>
      <c r="H134" s="29"/>
      <c r="I134" s="20"/>
      <c r="J134" s="22"/>
      <c r="K134" s="24">
        <v>-61.199999999999996</v>
      </c>
      <c r="L134" s="33"/>
      <c r="M134" s="28"/>
      <c r="N134" s="29"/>
      <c r="O134" s="30"/>
      <c r="P134" s="32"/>
    </row>
    <row r="135" spans="1:16" x14ac:dyDescent="0.2">
      <c r="A135" s="20" t="s">
        <v>256</v>
      </c>
      <c r="B135" s="20" t="s">
        <v>257</v>
      </c>
      <c r="C135" s="24"/>
      <c r="D135" s="20"/>
      <c r="E135" s="22"/>
      <c r="F135" s="26"/>
      <c r="G135" s="24"/>
      <c r="H135" s="29"/>
      <c r="I135" s="20"/>
      <c r="J135" s="22"/>
      <c r="K135" s="24">
        <v>-65.52000000000001</v>
      </c>
      <c r="L135" s="33"/>
      <c r="M135" s="28"/>
      <c r="N135" s="29"/>
      <c r="O135" s="30"/>
      <c r="P135" s="32"/>
    </row>
    <row r="136" spans="1:16" x14ac:dyDescent="0.2">
      <c r="A136" s="20" t="s">
        <v>258</v>
      </c>
      <c r="B136" s="20" t="s">
        <v>259</v>
      </c>
      <c r="C136" s="24"/>
      <c r="D136" s="20"/>
      <c r="E136" s="22"/>
      <c r="F136" s="26"/>
      <c r="G136" s="24"/>
      <c r="H136" s="29"/>
      <c r="I136" s="20"/>
      <c r="J136" s="22"/>
      <c r="K136" s="24">
        <v>-50.83</v>
      </c>
      <c r="L136" s="33"/>
      <c r="M136" s="28"/>
      <c r="N136" s="29"/>
      <c r="O136" s="30"/>
      <c r="P136" s="32"/>
    </row>
    <row r="137" spans="1:16" x14ac:dyDescent="0.2">
      <c r="A137" s="20" t="s">
        <v>260</v>
      </c>
      <c r="B137" s="20" t="s">
        <v>261</v>
      </c>
      <c r="C137" s="24"/>
      <c r="D137" s="20"/>
      <c r="E137" s="22"/>
      <c r="F137" s="26"/>
      <c r="G137" s="24"/>
      <c r="H137" s="29"/>
      <c r="I137" s="20"/>
      <c r="J137" s="22"/>
      <c r="K137" s="24">
        <v>-59.816199999999988</v>
      </c>
      <c r="L137" s="33"/>
      <c r="M137" s="28"/>
      <c r="N137" s="29"/>
      <c r="O137" s="30"/>
      <c r="P137" s="32"/>
    </row>
    <row r="138" spans="1:16" x14ac:dyDescent="0.2">
      <c r="A138" s="13" t="s">
        <v>163</v>
      </c>
      <c r="B138" s="20" t="s">
        <v>164</v>
      </c>
      <c r="C138" s="24"/>
      <c r="D138" s="20"/>
      <c r="E138" s="22"/>
      <c r="F138" s="23"/>
      <c r="G138" s="24"/>
      <c r="H138" s="100"/>
      <c r="I138" s="26"/>
      <c r="J138" s="22"/>
      <c r="K138" s="24">
        <v>1716</v>
      </c>
      <c r="L138" s="27"/>
      <c r="M138" s="28"/>
      <c r="N138" s="29"/>
      <c r="O138" s="30"/>
      <c r="P138" s="32"/>
    </row>
    <row r="139" spans="1:16" x14ac:dyDescent="0.2">
      <c r="A139" s="13" t="s">
        <v>172</v>
      </c>
      <c r="B139" s="20" t="s">
        <v>173</v>
      </c>
      <c r="C139" s="24"/>
      <c r="D139" s="20"/>
      <c r="E139" s="22"/>
      <c r="F139" s="23"/>
      <c r="G139" s="24"/>
      <c r="H139" s="100"/>
      <c r="I139" s="26"/>
      <c r="J139" s="22"/>
      <c r="K139" s="24">
        <v>1411</v>
      </c>
      <c r="L139" s="27"/>
      <c r="M139" s="28"/>
      <c r="N139" s="29"/>
      <c r="O139" s="30"/>
      <c r="P139" s="32"/>
    </row>
    <row r="140" spans="1:16" x14ac:dyDescent="0.2">
      <c r="A140" s="13" t="s">
        <v>262</v>
      </c>
      <c r="B140" s="20" t="s">
        <v>263</v>
      </c>
      <c r="C140" s="24"/>
      <c r="D140" s="20"/>
      <c r="E140" s="22"/>
      <c r="F140" s="23"/>
      <c r="G140" s="24"/>
      <c r="H140" s="100"/>
      <c r="I140" s="26"/>
      <c r="J140" s="22"/>
      <c r="K140" s="24">
        <v>69</v>
      </c>
      <c r="L140" s="27"/>
      <c r="M140" s="28"/>
      <c r="N140" s="29"/>
      <c r="O140" s="30"/>
      <c r="P140" s="32"/>
    </row>
    <row r="141" spans="1:16" x14ac:dyDescent="0.2">
      <c r="A141" s="13" t="s">
        <v>264</v>
      </c>
      <c r="B141" s="20" t="s">
        <v>265</v>
      </c>
      <c r="C141" s="24"/>
      <c r="D141" s="20"/>
      <c r="E141" s="22"/>
      <c r="F141" s="23"/>
      <c r="G141" s="24"/>
      <c r="H141" s="100"/>
      <c r="I141" s="26"/>
      <c r="J141" s="22"/>
      <c r="K141" s="24">
        <v>57.53</v>
      </c>
      <c r="L141" s="27"/>
      <c r="M141" s="28"/>
      <c r="N141" s="29"/>
      <c r="O141" s="30"/>
      <c r="P141" s="32"/>
    </row>
    <row r="142" spans="1:16" x14ac:dyDescent="0.2">
      <c r="A142" s="13" t="s">
        <v>266</v>
      </c>
      <c r="B142" s="20" t="s">
        <v>267</v>
      </c>
      <c r="C142" s="24"/>
      <c r="D142" s="20"/>
      <c r="E142" s="22"/>
      <c r="F142" s="23"/>
      <c r="G142" s="24"/>
      <c r="H142" s="100"/>
      <c r="I142" s="26"/>
      <c r="J142" s="22"/>
      <c r="K142" s="24">
        <v>65</v>
      </c>
      <c r="L142" s="27"/>
      <c r="M142" s="28"/>
      <c r="N142" s="29"/>
      <c r="O142" s="30"/>
      <c r="P142" s="32"/>
    </row>
    <row r="143" spans="1:16" x14ac:dyDescent="0.2">
      <c r="A143" s="13" t="s">
        <v>268</v>
      </c>
      <c r="B143" s="20" t="s">
        <v>269</v>
      </c>
      <c r="C143" s="24"/>
      <c r="D143" s="20"/>
      <c r="E143" s="22"/>
      <c r="F143" s="23"/>
      <c r="G143" s="24"/>
      <c r="H143" s="100"/>
      <c r="I143" s="26"/>
      <c r="J143" s="22"/>
      <c r="K143" s="24">
        <v>58</v>
      </c>
      <c r="L143" s="27"/>
      <c r="M143" s="28"/>
      <c r="N143" s="29"/>
      <c r="O143" s="30"/>
      <c r="P143" s="32"/>
    </row>
    <row r="144" spans="1:16" x14ac:dyDescent="0.2">
      <c r="A144" s="13" t="s">
        <v>270</v>
      </c>
      <c r="B144" s="20" t="s">
        <v>271</v>
      </c>
      <c r="C144" s="24"/>
      <c r="D144" s="20"/>
      <c r="E144" s="22"/>
      <c r="F144" s="23"/>
      <c r="G144" s="24"/>
      <c r="H144" s="100"/>
      <c r="I144" s="26"/>
      <c r="J144" s="22"/>
      <c r="K144" s="24">
        <v>13</v>
      </c>
      <c r="L144" s="27"/>
      <c r="M144" s="28"/>
      <c r="N144" s="29"/>
      <c r="O144" s="30"/>
      <c r="P144" s="32"/>
    </row>
    <row r="145" spans="1:16" x14ac:dyDescent="0.2">
      <c r="A145" s="13" t="s">
        <v>272</v>
      </c>
      <c r="B145" s="20" t="s">
        <v>273</v>
      </c>
      <c r="C145" s="24"/>
      <c r="D145" s="20"/>
      <c r="E145" s="22"/>
      <c r="F145" s="23"/>
      <c r="G145" s="24"/>
      <c r="H145" s="100"/>
      <c r="I145" s="26"/>
      <c r="J145" s="22"/>
      <c r="K145" s="24">
        <v>41</v>
      </c>
      <c r="L145" s="27"/>
      <c r="M145" s="28"/>
      <c r="N145" s="29"/>
      <c r="O145" s="30"/>
      <c r="P145" s="32"/>
    </row>
    <row r="146" spans="1:16" x14ac:dyDescent="0.2">
      <c r="A146" s="13" t="s">
        <v>274</v>
      </c>
      <c r="B146" s="20" t="s">
        <v>275</v>
      </c>
      <c r="C146" s="24"/>
      <c r="D146" s="20"/>
      <c r="E146" s="22"/>
      <c r="F146" s="23"/>
      <c r="G146" s="24"/>
      <c r="H146" s="100"/>
      <c r="I146" s="26"/>
      <c r="J146" s="22"/>
      <c r="K146" s="24">
        <v>33</v>
      </c>
      <c r="L146" s="27"/>
      <c r="M146" s="28"/>
      <c r="N146" s="29"/>
      <c r="O146" s="30"/>
      <c r="P146" s="32"/>
    </row>
    <row r="147" spans="1:16" x14ac:dyDescent="0.2">
      <c r="A147" s="13"/>
      <c r="B147" s="20"/>
      <c r="C147" s="24"/>
      <c r="D147" s="20"/>
      <c r="E147" s="22"/>
      <c r="F147" s="23"/>
      <c r="G147" s="24"/>
      <c r="H147" s="100"/>
      <c r="I147" s="26"/>
      <c r="J147" s="22"/>
      <c r="K147" s="24"/>
      <c r="L147" s="27"/>
      <c r="M147" s="28"/>
      <c r="N147" s="29"/>
      <c r="O147" s="30"/>
      <c r="P147" s="32"/>
    </row>
    <row r="148" spans="1:16" x14ac:dyDescent="0.2">
      <c r="A148" s="91" t="s">
        <v>276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102"/>
      <c r="O148" s="103"/>
      <c r="P148" s="104"/>
    </row>
    <row r="149" spans="1:16" x14ac:dyDescent="0.2">
      <c r="A149" s="13" t="s">
        <v>2</v>
      </c>
      <c r="B149" s="13" t="s">
        <v>3</v>
      </c>
      <c r="C149" s="14" t="s">
        <v>277</v>
      </c>
      <c r="D149" s="13" t="s">
        <v>5</v>
      </c>
      <c r="E149" s="15" t="s">
        <v>278</v>
      </c>
      <c r="F149" s="13" t="s">
        <v>279</v>
      </c>
      <c r="G149" s="13" t="s">
        <v>280</v>
      </c>
      <c r="H149" s="16" t="s">
        <v>9</v>
      </c>
      <c r="I149" s="13" t="s">
        <v>10</v>
      </c>
      <c r="J149" s="15" t="s">
        <v>11</v>
      </c>
      <c r="K149" s="13" t="s">
        <v>12</v>
      </c>
      <c r="L149" s="13" t="s">
        <v>13</v>
      </c>
      <c r="M149" s="17" t="s">
        <v>14</v>
      </c>
      <c r="N149" s="18"/>
      <c r="O149" s="105"/>
      <c r="P149" s="17"/>
    </row>
    <row r="150" spans="1:16" x14ac:dyDescent="0.2">
      <c r="A150" s="20" t="s">
        <v>281</v>
      </c>
      <c r="B150" s="20" t="s">
        <v>282</v>
      </c>
      <c r="C150" s="21">
        <v>44601</v>
      </c>
      <c r="D150" s="20">
        <v>-1</v>
      </c>
      <c r="E150" s="22">
        <v>1.1438999999999999</v>
      </c>
      <c r="F150" s="23">
        <v>3250</v>
      </c>
      <c r="G150" s="24">
        <f>(D150*F150)/E150</f>
        <v>-2841.1574438325028</v>
      </c>
      <c r="H150" s="100">
        <v>2735</v>
      </c>
      <c r="I150" s="26">
        <v>0</v>
      </c>
      <c r="J150" s="22">
        <f>C153</f>
        <v>1.0795638562020944</v>
      </c>
      <c r="K150" s="24">
        <f>-(D150*H150)/J150</f>
        <v>2533.4304999999999</v>
      </c>
      <c r="L150" s="27">
        <f>M150/(-G150)</f>
        <v>0.10831041570769233</v>
      </c>
      <c r="M150" s="28">
        <f>-G150-K150</f>
        <v>307.72694383250291</v>
      </c>
      <c r="N150" s="19"/>
      <c r="O150" s="19"/>
      <c r="P150" s="19" t="s">
        <v>283</v>
      </c>
    </row>
    <row r="151" spans="1:16" x14ac:dyDescent="0.2">
      <c r="A151" s="20" t="s">
        <v>284</v>
      </c>
      <c r="B151" s="20" t="s">
        <v>285</v>
      </c>
      <c r="C151" s="21">
        <v>44638</v>
      </c>
      <c r="D151" s="20">
        <v>-2</v>
      </c>
      <c r="E151" s="22">
        <v>1.1060000000000001</v>
      </c>
      <c r="F151" s="23">
        <v>1000</v>
      </c>
      <c r="G151" s="24">
        <f>(D151*F151)/E151</f>
        <v>-1808.3182640144664</v>
      </c>
      <c r="H151" s="100">
        <f>'[1]auto data'!C11</f>
        <v>1005.05</v>
      </c>
      <c r="I151" s="26">
        <v>0</v>
      </c>
      <c r="J151" s="22">
        <f>C153</f>
        <v>1.0795638562020944</v>
      </c>
      <c r="K151" s="24">
        <f>-(D151*H151)/J151</f>
        <v>1861.9556299999999</v>
      </c>
      <c r="L151" s="33">
        <f>M151/(-G151)</f>
        <v>-2.9661463390000031E-2</v>
      </c>
      <c r="M151" s="28">
        <f>-G151-K151</f>
        <v>-53.637365985533506</v>
      </c>
      <c r="N151" s="19"/>
      <c r="O151" s="19"/>
      <c r="P151" s="19"/>
    </row>
    <row r="152" spans="1:16" x14ac:dyDescent="0.2">
      <c r="A152" s="91" t="s">
        <v>286</v>
      </c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102"/>
      <c r="O152" s="103"/>
      <c r="P152" s="104"/>
    </row>
    <row r="153" spans="1:16" x14ac:dyDescent="0.2">
      <c r="A153" s="20" t="s">
        <v>287</v>
      </c>
      <c r="B153" s="20" t="s">
        <v>288</v>
      </c>
      <c r="C153" s="106">
        <f>'[1]auto data'!D3</f>
        <v>1.0795638562020944</v>
      </c>
      <c r="D153" s="20"/>
      <c r="E153" s="20"/>
      <c r="F153" s="87"/>
      <c r="G153" s="20"/>
      <c r="H153" s="107"/>
      <c r="I153" s="20"/>
      <c r="J153" s="108"/>
      <c r="K153" s="20"/>
      <c r="L153" s="20"/>
      <c r="M153" s="73"/>
      <c r="N153" s="43"/>
      <c r="O153" s="83"/>
      <c r="P153" s="73"/>
    </row>
    <row r="154" spans="1:16" x14ac:dyDescent="0.2">
      <c r="A154" s="20" t="s">
        <v>289</v>
      </c>
      <c r="B154" s="20" t="s">
        <v>290</v>
      </c>
      <c r="C154" s="106">
        <f>'[1]auto data'!D4</f>
        <v>1.3726835964310227</v>
      </c>
      <c r="D154" s="20"/>
      <c r="E154" s="20"/>
      <c r="F154" s="20"/>
      <c r="G154" s="20"/>
      <c r="H154" s="20"/>
      <c r="I154" s="20"/>
      <c r="J154" s="108"/>
      <c r="K154" s="20"/>
      <c r="L154" s="20"/>
      <c r="M154" s="73"/>
      <c r="N154" s="43"/>
      <c r="O154" s="83"/>
      <c r="P154" s="73"/>
    </row>
    <row r="155" spans="1:16" x14ac:dyDescent="0.2">
      <c r="A155" s="20" t="s">
        <v>291</v>
      </c>
      <c r="B155" s="20" t="s">
        <v>292</v>
      </c>
      <c r="C155" s="106">
        <f>'[1]auto data'!D5</f>
        <v>1.4916467780429594</v>
      </c>
      <c r="D155" s="20"/>
      <c r="E155" s="20"/>
      <c r="F155" s="20"/>
      <c r="G155" s="20"/>
      <c r="H155" s="20"/>
      <c r="I155" s="20"/>
      <c r="J155" s="108"/>
      <c r="K155" s="20"/>
      <c r="L155" s="109"/>
      <c r="M155" s="73"/>
      <c r="N155" s="43"/>
      <c r="O155" s="83"/>
      <c r="P155" s="73"/>
    </row>
    <row r="156" spans="1:16" x14ac:dyDescent="0.2">
      <c r="A156" s="20" t="s">
        <v>293</v>
      </c>
      <c r="B156" s="20" t="s">
        <v>294</v>
      </c>
      <c r="C156" s="106">
        <f>'[1]auto data'!D6</f>
        <v>0.84097216382137752</v>
      </c>
      <c r="D156" s="20"/>
      <c r="E156" s="20"/>
      <c r="F156" s="20"/>
      <c r="G156" s="20"/>
      <c r="H156" s="20"/>
      <c r="I156" s="20"/>
      <c r="J156" s="22"/>
      <c r="K156" s="20"/>
      <c r="L156" s="20"/>
      <c r="M156" s="73"/>
      <c r="N156" s="43"/>
      <c r="O156" s="83"/>
      <c r="P156" s="73"/>
    </row>
    <row r="157" spans="1:16" x14ac:dyDescent="0.2">
      <c r="A157" s="91" t="s">
        <v>295</v>
      </c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3"/>
    </row>
    <row r="158" spans="1:16" x14ac:dyDescent="0.2">
      <c r="A158" s="19" t="s">
        <v>296</v>
      </c>
      <c r="B158" s="19"/>
      <c r="C158" s="19"/>
      <c r="D158" s="19"/>
      <c r="E158" s="110">
        <f>SUM(G2:G122)</f>
        <v>50868.079935552079</v>
      </c>
      <c r="F158" s="20"/>
      <c r="G158" s="111" t="s">
        <v>297</v>
      </c>
      <c r="H158" s="111"/>
      <c r="I158" s="111"/>
      <c r="J158" s="111"/>
      <c r="K158" s="112">
        <f>SUM(K2:K122)+M151</f>
        <v>64267.525738690885</v>
      </c>
      <c r="L158" s="20"/>
      <c r="M158" s="113" t="s">
        <v>298</v>
      </c>
      <c r="N158" s="114"/>
      <c r="O158" s="115"/>
      <c r="P158" s="116">
        <f>P159+M86+M81+M62+M46+M38+M18+M2+M70</f>
        <v>69208.956012956871</v>
      </c>
    </row>
    <row r="159" spans="1:16" x14ac:dyDescent="0.2">
      <c r="A159" s="19" t="s">
        <v>299</v>
      </c>
      <c r="B159" s="19"/>
      <c r="C159" s="19"/>
      <c r="D159" s="19"/>
      <c r="E159" s="110">
        <v>25000</v>
      </c>
      <c r="F159" s="20"/>
      <c r="G159" s="117" t="s">
        <v>300</v>
      </c>
      <c r="H159" s="118"/>
      <c r="I159" s="118"/>
      <c r="J159" s="119"/>
      <c r="K159" s="120">
        <f>K158-E158</f>
        <v>13399.445803138806</v>
      </c>
      <c r="L159" s="20"/>
      <c r="M159" s="113" t="s">
        <v>301</v>
      </c>
      <c r="N159" s="114"/>
      <c r="O159" s="115"/>
      <c r="P159" s="121">
        <f>E160-E158</f>
        <v>4887.7929082804185</v>
      </c>
    </row>
    <row r="160" spans="1:16" x14ac:dyDescent="0.2">
      <c r="A160" s="19" t="s">
        <v>302</v>
      </c>
      <c r="B160" s="19"/>
      <c r="C160" s="19"/>
      <c r="D160" s="19"/>
      <c r="E160" s="110">
        <f>E159+K160</f>
        <v>55755.872843832498</v>
      </c>
      <c r="F160" s="20"/>
      <c r="G160" s="111" t="s">
        <v>303</v>
      </c>
      <c r="H160" s="111"/>
      <c r="I160" s="111"/>
      <c r="J160" s="111"/>
      <c r="K160" s="112">
        <f>SUM(K124:K148)+M150</f>
        <v>30755.872843832498</v>
      </c>
      <c r="L160" s="38"/>
      <c r="M160" s="113" t="s">
        <v>304</v>
      </c>
      <c r="N160" s="114"/>
      <c r="O160" s="115"/>
      <c r="P160" s="122">
        <f>P159/P158</f>
        <v>7.0623705223430283E-2</v>
      </c>
    </row>
    <row r="161" spans="1:16" x14ac:dyDescent="0.2">
      <c r="A161" s="123" t="s">
        <v>305</v>
      </c>
      <c r="B161" s="19"/>
      <c r="C161" s="19"/>
      <c r="D161" s="19"/>
      <c r="E161" s="110">
        <f>E160+K161+K160</f>
        <v>86513.514045905511</v>
      </c>
      <c r="F161" s="20"/>
      <c r="G161" s="111" t="s">
        <v>306</v>
      </c>
      <c r="H161" s="111"/>
      <c r="I161" s="111"/>
      <c r="J161" s="111"/>
      <c r="K161" s="124">
        <f>(P158/E159)-1</f>
        <v>1.7683582405182747</v>
      </c>
      <c r="L161" s="38"/>
      <c r="M161" s="125" t="s">
        <v>307</v>
      </c>
      <c r="N161" s="126"/>
      <c r="O161" s="127"/>
      <c r="P161" s="128">
        <f>P86+P81+P70+P62+P46+P38+P18+P2+P160</f>
        <v>0.98814413194047479</v>
      </c>
    </row>
    <row r="162" spans="1:16" x14ac:dyDescent="0.2">
      <c r="A162" s="91" t="s">
        <v>308</v>
      </c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3"/>
    </row>
    <row r="163" spans="1:16" x14ac:dyDescent="0.2">
      <c r="A163" s="13" t="s">
        <v>309</v>
      </c>
      <c r="B163" s="13" t="s">
        <v>3</v>
      </c>
      <c r="C163" s="13" t="s">
        <v>310</v>
      </c>
      <c r="D163" s="13" t="s">
        <v>5</v>
      </c>
      <c r="E163" s="15" t="s">
        <v>311</v>
      </c>
      <c r="F163" s="13" t="s">
        <v>312</v>
      </c>
      <c r="G163" s="13" t="s">
        <v>313</v>
      </c>
      <c r="H163" s="17" t="s">
        <v>314</v>
      </c>
      <c r="I163" s="17" t="s">
        <v>315</v>
      </c>
      <c r="J163" s="125" t="s">
        <v>316</v>
      </c>
      <c r="K163" s="125" t="s">
        <v>317</v>
      </c>
      <c r="L163" s="126"/>
      <c r="M163" s="126"/>
      <c r="N163" s="126"/>
      <c r="O163" s="126"/>
      <c r="P163" s="127"/>
    </row>
    <row r="164" spans="1:16" x14ac:dyDescent="0.2">
      <c r="A164" s="20" t="s">
        <v>318</v>
      </c>
      <c r="B164" s="20" t="s">
        <v>319</v>
      </c>
      <c r="C164" s="129"/>
      <c r="D164" s="20">
        <v>20</v>
      </c>
      <c r="E164" s="22">
        <f>C153</f>
        <v>1.0795638562020944</v>
      </c>
      <c r="F164" s="87">
        <f>'[1]auto data'!W6</f>
        <v>33.92</v>
      </c>
      <c r="G164" s="24">
        <f>(F164/E164)*D164</f>
        <v>628.40192000000002</v>
      </c>
      <c r="H164" s="107">
        <v>25</v>
      </c>
      <c r="I164" s="73" t="s">
        <v>320</v>
      </c>
      <c r="J164" s="22" t="s">
        <v>321</v>
      </c>
      <c r="K164" s="130" t="s">
        <v>322</v>
      </c>
      <c r="L164" s="131"/>
      <c r="M164" s="131"/>
      <c r="N164" s="131"/>
      <c r="O164" s="131"/>
      <c r="P164" s="132"/>
    </row>
    <row r="165" spans="1:16" x14ac:dyDescent="0.2">
      <c r="A165" s="20" t="s">
        <v>323</v>
      </c>
      <c r="B165" s="20" t="s">
        <v>324</v>
      </c>
      <c r="C165" s="129"/>
      <c r="D165" s="20">
        <v>30</v>
      </c>
      <c r="E165" s="22">
        <f>C156</f>
        <v>0.84097216382137752</v>
      </c>
      <c r="F165" s="133">
        <f>'[1]auto data'!W7</f>
        <v>3339.5</v>
      </c>
      <c r="G165" s="24">
        <f>(F165/100)/E165*D165</f>
        <v>1191.299835</v>
      </c>
      <c r="H165" s="134">
        <v>2000</v>
      </c>
      <c r="I165" s="73" t="s">
        <v>325</v>
      </c>
      <c r="J165" s="22" t="s">
        <v>321</v>
      </c>
      <c r="K165" s="130" t="s">
        <v>326</v>
      </c>
      <c r="L165" s="131"/>
      <c r="M165" s="131"/>
      <c r="N165" s="131"/>
      <c r="O165" s="131"/>
      <c r="P165" s="132"/>
    </row>
    <row r="166" spans="1:16" x14ac:dyDescent="0.2">
      <c r="A166" s="20" t="s">
        <v>327</v>
      </c>
      <c r="B166" s="20" t="s">
        <v>328</v>
      </c>
      <c r="C166" s="129"/>
      <c r="D166" s="20">
        <v>100</v>
      </c>
      <c r="E166" s="22">
        <f>C153</f>
        <v>1.0795638562020944</v>
      </c>
      <c r="F166" s="87">
        <f>'[1]auto data'!W9</f>
        <v>4.49</v>
      </c>
      <c r="G166" s="24">
        <f t="shared" ref="G166:G177" si="49">(F166/E166)*D166</f>
        <v>415.90870000000007</v>
      </c>
      <c r="H166" s="107">
        <v>3</v>
      </c>
      <c r="I166" s="73" t="s">
        <v>320</v>
      </c>
      <c r="J166" s="22" t="s">
        <v>321</v>
      </c>
      <c r="K166" s="130" t="s">
        <v>329</v>
      </c>
      <c r="L166" s="131"/>
      <c r="M166" s="131"/>
      <c r="N166" s="131"/>
      <c r="O166" s="131"/>
      <c r="P166" s="132"/>
    </row>
    <row r="167" spans="1:16" x14ac:dyDescent="0.2">
      <c r="A167" s="20" t="s">
        <v>330</v>
      </c>
      <c r="B167" s="20" t="s">
        <v>331</v>
      </c>
      <c r="C167" s="129"/>
      <c r="D167" s="20">
        <v>10</v>
      </c>
      <c r="E167" s="22">
        <f>C153</f>
        <v>1.0795638562020944</v>
      </c>
      <c r="F167" s="87">
        <f>'[1]auto data'!W8</f>
        <v>74.52</v>
      </c>
      <c r="G167" s="24">
        <f t="shared" si="49"/>
        <v>690.27875999999992</v>
      </c>
      <c r="H167" s="107">
        <v>50</v>
      </c>
      <c r="I167" s="73" t="s">
        <v>320</v>
      </c>
      <c r="J167" s="22" t="s">
        <v>321</v>
      </c>
      <c r="K167" s="130" t="s">
        <v>329</v>
      </c>
      <c r="L167" s="131"/>
      <c r="M167" s="131"/>
      <c r="N167" s="131"/>
      <c r="O167" s="131"/>
      <c r="P167" s="132"/>
    </row>
    <row r="168" spans="1:16" x14ac:dyDescent="0.2">
      <c r="A168" s="20" t="s">
        <v>332</v>
      </c>
      <c r="B168" s="20" t="s">
        <v>333</v>
      </c>
      <c r="C168" s="129"/>
      <c r="D168" s="20">
        <v>12</v>
      </c>
      <c r="E168" s="22">
        <f>C153</f>
        <v>1.0795638562020944</v>
      </c>
      <c r="F168" s="87">
        <f>'[1]auto data'!W10</f>
        <v>64.180000000000007</v>
      </c>
      <c r="G168" s="24">
        <f t="shared" si="49"/>
        <v>713.39920800000004</v>
      </c>
      <c r="H168" s="107">
        <v>48</v>
      </c>
      <c r="I168" s="73" t="s">
        <v>320</v>
      </c>
      <c r="J168" s="22" t="s">
        <v>321</v>
      </c>
      <c r="K168" s="130" t="s">
        <v>334</v>
      </c>
      <c r="L168" s="131"/>
      <c r="M168" s="131"/>
      <c r="N168" s="131"/>
      <c r="O168" s="131"/>
      <c r="P168" s="132"/>
    </row>
    <row r="169" spans="1:16" x14ac:dyDescent="0.2">
      <c r="A169" s="20" t="s">
        <v>335</v>
      </c>
      <c r="B169" s="20" t="s">
        <v>336</v>
      </c>
      <c r="C169" s="129"/>
      <c r="D169" s="20">
        <v>10</v>
      </c>
      <c r="E169" s="22">
        <f>C153</f>
        <v>1.0795638562020944</v>
      </c>
      <c r="F169" s="87">
        <f>'[1]auto data'!W11</f>
        <v>69.45</v>
      </c>
      <c r="G169" s="24">
        <f t="shared" si="49"/>
        <v>643.31535000000008</v>
      </c>
      <c r="H169" s="107">
        <v>62</v>
      </c>
      <c r="I169" s="73" t="s">
        <v>320</v>
      </c>
      <c r="J169" s="22" t="s">
        <v>321</v>
      </c>
      <c r="K169" s="130" t="s">
        <v>337</v>
      </c>
      <c r="L169" s="131"/>
      <c r="M169" s="131"/>
      <c r="N169" s="131"/>
      <c r="O169" s="131"/>
      <c r="P169" s="132"/>
    </row>
    <row r="170" spans="1:16" x14ac:dyDescent="0.2">
      <c r="A170" s="20" t="s">
        <v>338</v>
      </c>
      <c r="B170" s="20" t="s">
        <v>339</v>
      </c>
      <c r="C170" s="129"/>
      <c r="D170" s="20">
        <v>50</v>
      </c>
      <c r="E170" s="22">
        <f>C155</f>
        <v>1.4916467780429594</v>
      </c>
      <c r="F170" s="87">
        <f>'[1]auto data'!W12</f>
        <v>21.22</v>
      </c>
      <c r="G170" s="24">
        <f t="shared" si="49"/>
        <v>711.2944</v>
      </c>
      <c r="H170" s="107">
        <v>11.5</v>
      </c>
      <c r="I170" s="73" t="s">
        <v>340</v>
      </c>
      <c r="J170" s="22" t="s">
        <v>321</v>
      </c>
      <c r="K170" s="130" t="s">
        <v>341</v>
      </c>
      <c r="L170" s="131"/>
      <c r="M170" s="131"/>
      <c r="N170" s="131"/>
      <c r="O170" s="131"/>
      <c r="P170" s="132"/>
    </row>
    <row r="171" spans="1:16" x14ac:dyDescent="0.2">
      <c r="A171" s="20" t="s">
        <v>342</v>
      </c>
      <c r="B171" s="20" t="s">
        <v>343</v>
      </c>
      <c r="C171" s="129" t="s">
        <v>344</v>
      </c>
      <c r="D171" s="20">
        <v>700</v>
      </c>
      <c r="E171" s="22">
        <f>C154</f>
        <v>1.3726835964310227</v>
      </c>
      <c r="F171" s="87">
        <f>'[1]auto data'!W13</f>
        <v>1.05</v>
      </c>
      <c r="G171" s="24">
        <f t="shared" si="49"/>
        <v>535.4475000000001</v>
      </c>
      <c r="H171" s="107">
        <v>0.3</v>
      </c>
      <c r="I171" s="73" t="s">
        <v>345</v>
      </c>
      <c r="J171" s="22" t="s">
        <v>321</v>
      </c>
      <c r="K171" s="130" t="s">
        <v>346</v>
      </c>
      <c r="L171" s="131"/>
      <c r="M171" s="131"/>
      <c r="N171" s="131"/>
      <c r="O171" s="131"/>
      <c r="P171" s="132"/>
    </row>
    <row r="172" spans="1:16" x14ac:dyDescent="0.2">
      <c r="A172" s="20" t="s">
        <v>347</v>
      </c>
      <c r="B172" s="20" t="s">
        <v>348</v>
      </c>
      <c r="C172" s="129"/>
      <c r="D172" s="20">
        <v>1000</v>
      </c>
      <c r="E172" s="22">
        <f>C154</f>
        <v>1.3726835964310227</v>
      </c>
      <c r="F172" s="87">
        <f>'[1]auto data'!W14</f>
        <v>0.69</v>
      </c>
      <c r="G172" s="24">
        <f t="shared" si="49"/>
        <v>502.66499999999991</v>
      </c>
      <c r="H172" s="107">
        <v>0.4</v>
      </c>
      <c r="I172" s="73" t="s">
        <v>345</v>
      </c>
      <c r="J172" s="22" t="s">
        <v>349</v>
      </c>
      <c r="K172" s="130" t="s">
        <v>346</v>
      </c>
      <c r="L172" s="131"/>
      <c r="M172" s="131"/>
      <c r="N172" s="131"/>
      <c r="O172" s="131"/>
      <c r="P172" s="132"/>
    </row>
    <row r="173" spans="1:16" x14ac:dyDescent="0.2">
      <c r="A173" s="20" t="s">
        <v>350</v>
      </c>
      <c r="B173" s="20" t="s">
        <v>351</v>
      </c>
      <c r="C173" s="129"/>
      <c r="D173" s="20">
        <v>400</v>
      </c>
      <c r="E173" s="22">
        <f>C154</f>
        <v>1.3726835964310227</v>
      </c>
      <c r="F173" s="87">
        <f>'[1]auto data'!W15</f>
        <v>1.77</v>
      </c>
      <c r="G173" s="24">
        <f t="shared" si="49"/>
        <v>515.77800000000002</v>
      </c>
      <c r="H173" s="107">
        <v>0.75</v>
      </c>
      <c r="I173" s="73" t="s">
        <v>340</v>
      </c>
      <c r="J173" s="22" t="s">
        <v>349</v>
      </c>
      <c r="K173" s="130" t="s">
        <v>352</v>
      </c>
      <c r="L173" s="131"/>
      <c r="M173" s="131"/>
      <c r="N173" s="131"/>
      <c r="O173" s="131"/>
      <c r="P173" s="132"/>
    </row>
    <row r="174" spans="1:16" x14ac:dyDescent="0.2">
      <c r="A174" s="20" t="s">
        <v>353</v>
      </c>
      <c r="B174" s="20" t="s">
        <v>354</v>
      </c>
      <c r="C174" s="129"/>
      <c r="D174" s="20">
        <v>24</v>
      </c>
      <c r="E174" s="22">
        <f>C153</f>
        <v>1.0795638562020944</v>
      </c>
      <c r="F174" s="87">
        <f>'[1]auto data'!W16</f>
        <v>9.68</v>
      </c>
      <c r="G174" s="24">
        <f t="shared" si="49"/>
        <v>215.198016</v>
      </c>
      <c r="H174" s="107">
        <v>7</v>
      </c>
      <c r="I174" s="73" t="s">
        <v>320</v>
      </c>
      <c r="J174" s="22" t="s">
        <v>349</v>
      </c>
      <c r="K174" s="130" t="s">
        <v>352</v>
      </c>
      <c r="L174" s="131"/>
      <c r="M174" s="131"/>
      <c r="N174" s="131"/>
      <c r="O174" s="131"/>
      <c r="P174" s="132"/>
    </row>
    <row r="175" spans="1:16" x14ac:dyDescent="0.2">
      <c r="A175" s="20" t="s">
        <v>355</v>
      </c>
      <c r="B175" s="20" t="s">
        <v>212</v>
      </c>
      <c r="C175" s="129"/>
      <c r="D175" s="20">
        <v>20</v>
      </c>
      <c r="E175" s="22">
        <f>C156</f>
        <v>0.84097216382137752</v>
      </c>
      <c r="F175" s="87">
        <f>'[1]auto data'!W17</f>
        <v>10.7</v>
      </c>
      <c r="G175" s="24">
        <f t="shared" si="49"/>
        <v>254.4674</v>
      </c>
      <c r="H175" s="107">
        <v>7</v>
      </c>
      <c r="I175" s="73" t="s">
        <v>325</v>
      </c>
      <c r="J175" s="22" t="s">
        <v>349</v>
      </c>
      <c r="K175" s="130" t="s">
        <v>352</v>
      </c>
      <c r="L175" s="131"/>
      <c r="M175" s="131"/>
      <c r="N175" s="131"/>
      <c r="O175" s="131"/>
      <c r="P175" s="132"/>
    </row>
    <row r="176" spans="1:16" x14ac:dyDescent="0.2">
      <c r="A176" s="20" t="s">
        <v>356</v>
      </c>
      <c r="B176" s="20" t="s">
        <v>357</v>
      </c>
      <c r="C176" s="129"/>
      <c r="D176" s="20">
        <v>500</v>
      </c>
      <c r="E176" s="22">
        <f>C154</f>
        <v>1.3726835964310227</v>
      </c>
      <c r="F176" s="26">
        <f>'[1]auto data'!J41</f>
        <v>1.1100000000000001</v>
      </c>
      <c r="G176" s="24">
        <f t="shared" si="49"/>
        <v>404.31750000000005</v>
      </c>
      <c r="H176" s="107">
        <v>0.5</v>
      </c>
      <c r="I176" s="73" t="s">
        <v>345</v>
      </c>
      <c r="J176" s="22" t="s">
        <v>349</v>
      </c>
      <c r="K176" s="130" t="s">
        <v>352</v>
      </c>
      <c r="L176" s="131"/>
      <c r="M176" s="131"/>
      <c r="N176" s="131"/>
      <c r="O176" s="131"/>
      <c r="P176" s="132"/>
    </row>
    <row r="177" spans="1:16" x14ac:dyDescent="0.2">
      <c r="A177" s="20" t="s">
        <v>358</v>
      </c>
      <c r="B177" s="20" t="s">
        <v>359</v>
      </c>
      <c r="C177" s="129"/>
      <c r="D177" s="20">
        <v>400</v>
      </c>
      <c r="E177" s="22">
        <f>C153</f>
        <v>1.0795638562020944</v>
      </c>
      <c r="F177" s="87">
        <f>'[1]auto data'!J40</f>
        <v>0.51300000000000001</v>
      </c>
      <c r="G177" s="24">
        <f t="shared" si="49"/>
        <v>190.07676000000001</v>
      </c>
      <c r="H177" s="107">
        <v>0.45</v>
      </c>
      <c r="I177" s="73" t="s">
        <v>360</v>
      </c>
      <c r="J177" s="22" t="s">
        <v>349</v>
      </c>
      <c r="K177" s="130" t="s">
        <v>352</v>
      </c>
      <c r="L177" s="131"/>
      <c r="M177" s="131"/>
      <c r="N177" s="131"/>
      <c r="O177" s="131"/>
      <c r="P177" s="132"/>
    </row>
  </sheetData>
  <mergeCells count="32">
    <mergeCell ref="N148:P148"/>
    <mergeCell ref="N152:P152"/>
    <mergeCell ref="G158:J158"/>
    <mergeCell ref="G159:J159"/>
    <mergeCell ref="G160:J160"/>
    <mergeCell ref="G161:J161"/>
    <mergeCell ref="M71:O71"/>
    <mergeCell ref="A81:F81"/>
    <mergeCell ref="G81:K81"/>
    <mergeCell ref="M81:O81"/>
    <mergeCell ref="A86:F86"/>
    <mergeCell ref="G86:K86"/>
    <mergeCell ref="M86:O86"/>
    <mergeCell ref="A62:F62"/>
    <mergeCell ref="G62:K62"/>
    <mergeCell ref="M62:O62"/>
    <mergeCell ref="A70:F70"/>
    <mergeCell ref="G70:K70"/>
    <mergeCell ref="M70:O70"/>
    <mergeCell ref="A38:F38"/>
    <mergeCell ref="G38:K38"/>
    <mergeCell ref="M38:O38"/>
    <mergeCell ref="A46:F46"/>
    <mergeCell ref="G46:K46"/>
    <mergeCell ref="M46:O46"/>
    <mergeCell ref="A1:P1"/>
    <mergeCell ref="A2:F2"/>
    <mergeCell ref="G2:K2"/>
    <mergeCell ref="M2:O2"/>
    <mergeCell ref="A18:F18"/>
    <mergeCell ref="G18:K18"/>
    <mergeCell ref="M18:O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2022-04-24T05:46:56Z</dcterms:created>
  <dcterms:modified xsi:type="dcterms:W3CDTF">2022-04-24T05:48:40Z</dcterms:modified>
</cp:coreProperties>
</file>