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CE1549C4-E8FB-AC48-8539-13518B6EFDAF}" xr6:coauthVersionLast="47" xr6:coauthVersionMax="47" xr10:uidLastSave="{00000000-0000-0000-0000-000000000000}"/>
  <bookViews>
    <workbookView xWindow="480" yWindow="1000" windowWidth="25040" windowHeight="14420" xr2:uid="{98863294-E4C4-D945-A9E3-95F0CECAD840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9" i="1" l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G165" i="1" s="1"/>
  <c r="F164" i="1"/>
  <c r="C156" i="1"/>
  <c r="E165" i="1" s="1"/>
  <c r="C155" i="1"/>
  <c r="E170" i="1" s="1"/>
  <c r="G170" i="1" s="1"/>
  <c r="C154" i="1"/>
  <c r="E177" i="1" s="1"/>
  <c r="C153" i="1"/>
  <c r="H151" i="1"/>
  <c r="G151" i="1"/>
  <c r="K140" i="1"/>
  <c r="K139" i="1"/>
  <c r="K160" i="1" s="1"/>
  <c r="E160" i="1" s="1"/>
  <c r="H134" i="1"/>
  <c r="G134" i="1"/>
  <c r="J133" i="1"/>
  <c r="K133" i="1" s="1"/>
  <c r="L133" i="1" s="1"/>
  <c r="H133" i="1"/>
  <c r="G133" i="1"/>
  <c r="H132" i="1"/>
  <c r="G132" i="1"/>
  <c r="J131" i="1"/>
  <c r="H131" i="1"/>
  <c r="K131" i="1" s="1"/>
  <c r="L131" i="1" s="1"/>
  <c r="G131" i="1"/>
  <c r="K130" i="1"/>
  <c r="H130" i="1"/>
  <c r="G130" i="1"/>
  <c r="J129" i="1"/>
  <c r="H129" i="1"/>
  <c r="K129" i="1" s="1"/>
  <c r="L129" i="1" s="1"/>
  <c r="G129" i="1"/>
  <c r="H128" i="1"/>
  <c r="K128" i="1" s="1"/>
  <c r="L128" i="1" s="1"/>
  <c r="G128" i="1"/>
  <c r="J127" i="1"/>
  <c r="K127" i="1" s="1"/>
  <c r="L127" i="1" s="1"/>
  <c r="H127" i="1"/>
  <c r="G127" i="1"/>
  <c r="H126" i="1"/>
  <c r="G126" i="1"/>
  <c r="L125" i="1"/>
  <c r="J125" i="1"/>
  <c r="H125" i="1"/>
  <c r="K125" i="1" s="1"/>
  <c r="G125" i="1"/>
  <c r="J124" i="1"/>
  <c r="H124" i="1"/>
  <c r="K124" i="1" s="1"/>
  <c r="L124" i="1" s="1"/>
  <c r="G124" i="1"/>
  <c r="J123" i="1"/>
  <c r="K123" i="1" s="1"/>
  <c r="L123" i="1" s="1"/>
  <c r="H123" i="1"/>
  <c r="G123" i="1"/>
  <c r="K122" i="1"/>
  <c r="L122" i="1" s="1"/>
  <c r="H122" i="1"/>
  <c r="G122" i="1"/>
  <c r="H121" i="1"/>
  <c r="G121" i="1"/>
  <c r="L120" i="1"/>
  <c r="H120" i="1"/>
  <c r="K120" i="1" s="1"/>
  <c r="G120" i="1"/>
  <c r="H119" i="1"/>
  <c r="K119" i="1" s="1"/>
  <c r="L119" i="1" s="1"/>
  <c r="G119" i="1"/>
  <c r="H118" i="1"/>
  <c r="K118" i="1" s="1"/>
  <c r="L118" i="1" s="1"/>
  <c r="G118" i="1"/>
  <c r="H117" i="1"/>
  <c r="G117" i="1"/>
  <c r="M116" i="1"/>
  <c r="J116" i="1"/>
  <c r="K116" i="1" s="1"/>
  <c r="L116" i="1" s="1"/>
  <c r="H116" i="1"/>
  <c r="G116" i="1"/>
  <c r="K115" i="1"/>
  <c r="L115" i="1" s="1"/>
  <c r="H115" i="1"/>
  <c r="G115" i="1"/>
  <c r="K114" i="1"/>
  <c r="L114" i="1" s="1"/>
  <c r="H114" i="1"/>
  <c r="G114" i="1"/>
  <c r="H113" i="1"/>
  <c r="G113" i="1"/>
  <c r="J112" i="1"/>
  <c r="H112" i="1"/>
  <c r="K112" i="1" s="1"/>
  <c r="L112" i="1" s="1"/>
  <c r="G112" i="1"/>
  <c r="K111" i="1"/>
  <c r="H111" i="1"/>
  <c r="G111" i="1"/>
  <c r="K110" i="1"/>
  <c r="L110" i="1" s="1"/>
  <c r="H110" i="1"/>
  <c r="G110" i="1"/>
  <c r="K109" i="1"/>
  <c r="L109" i="1" s="1"/>
  <c r="H109" i="1"/>
  <c r="G109" i="1"/>
  <c r="I108" i="1"/>
  <c r="H108" i="1"/>
  <c r="K108" i="1" s="1"/>
  <c r="L108" i="1" s="1"/>
  <c r="G108" i="1"/>
  <c r="H107" i="1"/>
  <c r="K107" i="1" s="1"/>
  <c r="L107" i="1" s="1"/>
  <c r="G107" i="1"/>
  <c r="H106" i="1"/>
  <c r="K106" i="1" s="1"/>
  <c r="L106" i="1" s="1"/>
  <c r="G106" i="1"/>
  <c r="J105" i="1"/>
  <c r="K105" i="1" s="1"/>
  <c r="L105" i="1" s="1"/>
  <c r="H105" i="1"/>
  <c r="G105" i="1"/>
  <c r="K104" i="1"/>
  <c r="L104" i="1" s="1"/>
  <c r="H104" i="1"/>
  <c r="G104" i="1"/>
  <c r="H103" i="1"/>
  <c r="G103" i="1"/>
  <c r="H102" i="1"/>
  <c r="K102" i="1" s="1"/>
  <c r="L102" i="1" s="1"/>
  <c r="G102" i="1"/>
  <c r="J101" i="1"/>
  <c r="I101" i="1"/>
  <c r="H101" i="1"/>
  <c r="K101" i="1" s="1"/>
  <c r="L101" i="1" s="1"/>
  <c r="G101" i="1"/>
  <c r="J100" i="1"/>
  <c r="K100" i="1" s="1"/>
  <c r="L100" i="1" s="1"/>
  <c r="H100" i="1"/>
  <c r="G100" i="1"/>
  <c r="M99" i="1"/>
  <c r="I99" i="1"/>
  <c r="H99" i="1"/>
  <c r="G99" i="1"/>
  <c r="J98" i="1"/>
  <c r="K98" i="1" s="1"/>
  <c r="L98" i="1" s="1"/>
  <c r="H98" i="1"/>
  <c r="G98" i="1"/>
  <c r="K97" i="1"/>
  <c r="L97" i="1" s="1"/>
  <c r="H97" i="1"/>
  <c r="G97" i="1"/>
  <c r="H94" i="1"/>
  <c r="K94" i="1" s="1"/>
  <c r="G94" i="1"/>
  <c r="K93" i="1"/>
  <c r="H93" i="1"/>
  <c r="G93" i="1"/>
  <c r="H92" i="1"/>
  <c r="K92" i="1" s="1"/>
  <c r="M92" i="1" s="1"/>
  <c r="G92" i="1"/>
  <c r="K91" i="1"/>
  <c r="H91" i="1"/>
  <c r="G91" i="1"/>
  <c r="M91" i="1" s="1"/>
  <c r="H90" i="1"/>
  <c r="K90" i="1" s="1"/>
  <c r="G90" i="1"/>
  <c r="K89" i="1"/>
  <c r="H89" i="1"/>
  <c r="G89" i="1"/>
  <c r="H88" i="1"/>
  <c r="K88" i="1" s="1"/>
  <c r="M88" i="1" s="1"/>
  <c r="G88" i="1"/>
  <c r="K87" i="1"/>
  <c r="H87" i="1"/>
  <c r="G87" i="1"/>
  <c r="M87" i="1" s="1"/>
  <c r="H86" i="1"/>
  <c r="K86" i="1" s="1"/>
  <c r="G86" i="1"/>
  <c r="K85" i="1"/>
  <c r="H85" i="1"/>
  <c r="G85" i="1"/>
  <c r="H84" i="1"/>
  <c r="K84" i="1" s="1"/>
  <c r="M84" i="1" s="1"/>
  <c r="G84" i="1"/>
  <c r="K83" i="1"/>
  <c r="H83" i="1"/>
  <c r="G83" i="1"/>
  <c r="M83" i="1" s="1"/>
  <c r="H82" i="1"/>
  <c r="K82" i="1" s="1"/>
  <c r="G82" i="1"/>
  <c r="K81" i="1"/>
  <c r="H81" i="1"/>
  <c r="G81" i="1"/>
  <c r="H80" i="1"/>
  <c r="K80" i="1" s="1"/>
  <c r="M80" i="1" s="1"/>
  <c r="G80" i="1"/>
  <c r="K79" i="1"/>
  <c r="H79" i="1"/>
  <c r="G79" i="1"/>
  <c r="M79" i="1" s="1"/>
  <c r="H78" i="1"/>
  <c r="K78" i="1" s="1"/>
  <c r="G78" i="1"/>
  <c r="G75" i="1"/>
  <c r="G74" i="1"/>
  <c r="G73" i="1"/>
  <c r="K72" i="1"/>
  <c r="J71" i="1"/>
  <c r="K71" i="1" s="1"/>
  <c r="L71" i="1" s="1"/>
  <c r="G71" i="1"/>
  <c r="J70" i="1"/>
  <c r="K70" i="1" s="1"/>
  <c r="L70" i="1" s="1"/>
  <c r="G70" i="1"/>
  <c r="J69" i="1"/>
  <c r="K69" i="1" s="1"/>
  <c r="L69" i="1" s="1"/>
  <c r="G69" i="1"/>
  <c r="J68" i="1"/>
  <c r="K68" i="1" s="1"/>
  <c r="L68" i="1" s="1"/>
  <c r="G68" i="1"/>
  <c r="J67" i="1"/>
  <c r="K67" i="1" s="1"/>
  <c r="G67" i="1"/>
  <c r="P64" i="1"/>
  <c r="O64" i="1"/>
  <c r="H64" i="1"/>
  <c r="G64" i="1"/>
  <c r="P63" i="1"/>
  <c r="O63" i="1"/>
  <c r="K63" i="1"/>
  <c r="J63" i="1"/>
  <c r="H63" i="1"/>
  <c r="G63" i="1"/>
  <c r="P62" i="1"/>
  <c r="O62" i="1"/>
  <c r="H62" i="1"/>
  <c r="G62" i="1"/>
  <c r="P61" i="1"/>
  <c r="O61" i="1"/>
  <c r="H61" i="1"/>
  <c r="G61" i="1"/>
  <c r="P60" i="1"/>
  <c r="O60" i="1"/>
  <c r="H60" i="1"/>
  <c r="G60" i="1"/>
  <c r="P57" i="1"/>
  <c r="O57" i="1"/>
  <c r="H57" i="1"/>
  <c r="G57" i="1"/>
  <c r="P56" i="1"/>
  <c r="O56" i="1"/>
  <c r="H56" i="1"/>
  <c r="G56" i="1"/>
  <c r="P55" i="1"/>
  <c r="O55" i="1"/>
  <c r="H55" i="1"/>
  <c r="G55" i="1"/>
  <c r="P54" i="1"/>
  <c r="O54" i="1"/>
  <c r="H54" i="1"/>
  <c r="G54" i="1"/>
  <c r="P53" i="1"/>
  <c r="O53" i="1"/>
  <c r="H53" i="1"/>
  <c r="G53" i="1"/>
  <c r="P52" i="1"/>
  <c r="O52" i="1"/>
  <c r="J52" i="1"/>
  <c r="H52" i="1"/>
  <c r="K52" i="1" s="1"/>
  <c r="G52" i="1"/>
  <c r="M52" i="1" s="1"/>
  <c r="P51" i="1"/>
  <c r="O51" i="1"/>
  <c r="L51" i="1"/>
  <c r="J51" i="1"/>
  <c r="H51" i="1"/>
  <c r="K51" i="1" s="1"/>
  <c r="G51" i="1"/>
  <c r="M51" i="1" s="1"/>
  <c r="P50" i="1"/>
  <c r="O50" i="1"/>
  <c r="J50" i="1"/>
  <c r="H50" i="1"/>
  <c r="K50" i="1" s="1"/>
  <c r="M50" i="1" s="1"/>
  <c r="G50" i="1"/>
  <c r="P49" i="1"/>
  <c r="O49" i="1"/>
  <c r="J49" i="1"/>
  <c r="H49" i="1"/>
  <c r="K49" i="1" s="1"/>
  <c r="L49" i="1" s="1"/>
  <c r="G49" i="1"/>
  <c r="P48" i="1"/>
  <c r="O48" i="1"/>
  <c r="J48" i="1"/>
  <c r="H48" i="1"/>
  <c r="K48" i="1" s="1"/>
  <c r="G48" i="1"/>
  <c r="M48" i="1" s="1"/>
  <c r="P47" i="1"/>
  <c r="O47" i="1"/>
  <c r="L47" i="1"/>
  <c r="J47" i="1"/>
  <c r="H47" i="1"/>
  <c r="K47" i="1" s="1"/>
  <c r="G47" i="1"/>
  <c r="M47" i="1" s="1"/>
  <c r="P46" i="1"/>
  <c r="O46" i="1"/>
  <c r="J46" i="1"/>
  <c r="H46" i="1"/>
  <c r="K46" i="1" s="1"/>
  <c r="M46" i="1" s="1"/>
  <c r="G46" i="1"/>
  <c r="P45" i="1"/>
  <c r="O45" i="1"/>
  <c r="J45" i="1"/>
  <c r="H45" i="1"/>
  <c r="K45" i="1" s="1"/>
  <c r="L45" i="1" s="1"/>
  <c r="G45" i="1"/>
  <c r="P44" i="1"/>
  <c r="O44" i="1"/>
  <c r="J44" i="1"/>
  <c r="H44" i="1"/>
  <c r="K44" i="1" s="1"/>
  <c r="G44" i="1"/>
  <c r="M44" i="1" s="1"/>
  <c r="P43" i="1"/>
  <c r="O43" i="1"/>
  <c r="L43" i="1"/>
  <c r="J43" i="1"/>
  <c r="H43" i="1"/>
  <c r="K43" i="1" s="1"/>
  <c r="G43" i="1"/>
  <c r="M43" i="1" s="1"/>
  <c r="P40" i="1"/>
  <c r="O40" i="1"/>
  <c r="I40" i="1"/>
  <c r="K40" i="1" s="1"/>
  <c r="H40" i="1"/>
  <c r="G40" i="1"/>
  <c r="O39" i="1"/>
  <c r="P39" i="1" s="1"/>
  <c r="K39" i="1"/>
  <c r="J39" i="1"/>
  <c r="I39" i="1"/>
  <c r="H39" i="1"/>
  <c r="G39" i="1"/>
  <c r="P38" i="1"/>
  <c r="O38" i="1"/>
  <c r="I38" i="1"/>
  <c r="H38" i="1"/>
  <c r="G38" i="1"/>
  <c r="I37" i="1"/>
  <c r="O37" i="1" s="1"/>
  <c r="P37" i="1" s="1"/>
  <c r="H37" i="1"/>
  <c r="G37" i="1"/>
  <c r="J36" i="1"/>
  <c r="I36" i="1"/>
  <c r="O36" i="1" s="1"/>
  <c r="P36" i="1" s="1"/>
  <c r="H36" i="1"/>
  <c r="G36" i="1"/>
  <c r="P33" i="1"/>
  <c r="O33" i="1"/>
  <c r="K33" i="1"/>
  <c r="M33" i="1" s="1"/>
  <c r="J33" i="1"/>
  <c r="H33" i="1"/>
  <c r="G33" i="1"/>
  <c r="L33" i="1" s="1"/>
  <c r="P32" i="1"/>
  <c r="O32" i="1"/>
  <c r="K32" i="1"/>
  <c r="M32" i="1" s="1"/>
  <c r="J32" i="1"/>
  <c r="H32" i="1"/>
  <c r="G32" i="1"/>
  <c r="L32" i="1" s="1"/>
  <c r="P31" i="1"/>
  <c r="O31" i="1"/>
  <c r="K31" i="1"/>
  <c r="M31" i="1" s="1"/>
  <c r="J31" i="1"/>
  <c r="H31" i="1"/>
  <c r="G31" i="1"/>
  <c r="L31" i="1" s="1"/>
  <c r="P30" i="1"/>
  <c r="O30" i="1"/>
  <c r="K30" i="1"/>
  <c r="M30" i="1" s="1"/>
  <c r="J30" i="1"/>
  <c r="H30" i="1"/>
  <c r="O29" i="1"/>
  <c r="P29" i="1" s="1"/>
  <c r="J29" i="1"/>
  <c r="H29" i="1"/>
  <c r="K29" i="1" s="1"/>
  <c r="G29" i="1"/>
  <c r="O28" i="1"/>
  <c r="P28" i="1" s="1"/>
  <c r="M28" i="1"/>
  <c r="K28" i="1"/>
  <c r="L28" i="1" s="1"/>
  <c r="J28" i="1"/>
  <c r="H28" i="1"/>
  <c r="G28" i="1"/>
  <c r="P27" i="1"/>
  <c r="O27" i="1"/>
  <c r="J27" i="1"/>
  <c r="K27" i="1" s="1"/>
  <c r="H27" i="1"/>
  <c r="G27" i="1"/>
  <c r="O26" i="1"/>
  <c r="P26" i="1" s="1"/>
  <c r="J26" i="1"/>
  <c r="H26" i="1"/>
  <c r="K26" i="1" s="1"/>
  <c r="G26" i="1"/>
  <c r="O25" i="1"/>
  <c r="P25" i="1" s="1"/>
  <c r="J25" i="1"/>
  <c r="H25" i="1"/>
  <c r="K25" i="1" s="1"/>
  <c r="G25" i="1"/>
  <c r="O24" i="1"/>
  <c r="P24" i="1" s="1"/>
  <c r="K24" i="1"/>
  <c r="L24" i="1" s="1"/>
  <c r="J24" i="1"/>
  <c r="H24" i="1"/>
  <c r="G24" i="1"/>
  <c r="P23" i="1"/>
  <c r="O23" i="1"/>
  <c r="J23" i="1"/>
  <c r="K23" i="1" s="1"/>
  <c r="H23" i="1"/>
  <c r="G23" i="1"/>
  <c r="O22" i="1"/>
  <c r="P22" i="1" s="1"/>
  <c r="J22" i="1"/>
  <c r="H22" i="1"/>
  <c r="K22" i="1" s="1"/>
  <c r="G22" i="1"/>
  <c r="O21" i="1"/>
  <c r="P21" i="1" s="1"/>
  <c r="J21" i="1"/>
  <c r="H21" i="1"/>
  <c r="K21" i="1" s="1"/>
  <c r="G21" i="1"/>
  <c r="O20" i="1"/>
  <c r="P20" i="1" s="1"/>
  <c r="K20" i="1"/>
  <c r="L20" i="1" s="1"/>
  <c r="J20" i="1"/>
  <c r="H20" i="1"/>
  <c r="G20" i="1"/>
  <c r="P17" i="1"/>
  <c r="O17" i="1"/>
  <c r="H17" i="1"/>
  <c r="G17" i="1"/>
  <c r="P16" i="1"/>
  <c r="O16" i="1"/>
  <c r="H16" i="1"/>
  <c r="G16" i="1"/>
  <c r="P15" i="1"/>
  <c r="J15" i="1"/>
  <c r="K15" i="1" s="1"/>
  <c r="I15" i="1"/>
  <c r="O15" i="1" s="1"/>
  <c r="H15" i="1"/>
  <c r="G15" i="1"/>
  <c r="P14" i="1"/>
  <c r="O14" i="1"/>
  <c r="K14" i="1"/>
  <c r="L14" i="1" s="1"/>
  <c r="J14" i="1"/>
  <c r="H14" i="1"/>
  <c r="G14" i="1"/>
  <c r="P13" i="1"/>
  <c r="O13" i="1"/>
  <c r="K13" i="1"/>
  <c r="M13" i="1" s="1"/>
  <c r="J13" i="1"/>
  <c r="H13" i="1"/>
  <c r="G13" i="1"/>
  <c r="P12" i="1"/>
  <c r="O12" i="1"/>
  <c r="K12" i="1"/>
  <c r="M12" i="1" s="1"/>
  <c r="J12" i="1"/>
  <c r="H12" i="1"/>
  <c r="G12" i="1"/>
  <c r="P11" i="1"/>
  <c r="O11" i="1"/>
  <c r="K11" i="1"/>
  <c r="M11" i="1" s="1"/>
  <c r="J11" i="1"/>
  <c r="H11" i="1"/>
  <c r="G11" i="1"/>
  <c r="P10" i="1"/>
  <c r="O10" i="1"/>
  <c r="K10" i="1"/>
  <c r="M10" i="1" s="1"/>
  <c r="J10" i="1"/>
  <c r="H10" i="1"/>
  <c r="G10" i="1"/>
  <c r="P9" i="1"/>
  <c r="O9" i="1"/>
  <c r="K9" i="1"/>
  <c r="M9" i="1" s="1"/>
  <c r="J9" i="1"/>
  <c r="H9" i="1"/>
  <c r="G9" i="1"/>
  <c r="P8" i="1"/>
  <c r="O8" i="1"/>
  <c r="K8" i="1"/>
  <c r="M8" i="1" s="1"/>
  <c r="J8" i="1"/>
  <c r="H8" i="1"/>
  <c r="G8" i="1"/>
  <c r="P7" i="1"/>
  <c r="O7" i="1"/>
  <c r="K7" i="1"/>
  <c r="M7" i="1" s="1"/>
  <c r="J7" i="1"/>
  <c r="H7" i="1"/>
  <c r="G7" i="1"/>
  <c r="P6" i="1"/>
  <c r="O6" i="1"/>
  <c r="K6" i="1"/>
  <c r="L6" i="1" s="1"/>
  <c r="J6" i="1"/>
  <c r="H6" i="1"/>
  <c r="G6" i="1"/>
  <c r="K5" i="1"/>
  <c r="L5" i="1" s="1"/>
  <c r="J5" i="1"/>
  <c r="I5" i="1"/>
  <c r="O5" i="1" s="1"/>
  <c r="P5" i="1" s="1"/>
  <c r="H5" i="1"/>
  <c r="G5" i="1"/>
  <c r="J4" i="1"/>
  <c r="I4" i="1"/>
  <c r="O4" i="1" s="1"/>
  <c r="P4" i="1" s="1"/>
  <c r="H4" i="1"/>
  <c r="K4" i="1" s="1"/>
  <c r="G4" i="1"/>
  <c r="A1" i="1"/>
  <c r="L25" i="1" l="1"/>
  <c r="M25" i="1"/>
  <c r="L26" i="1"/>
  <c r="M26" i="1"/>
  <c r="M40" i="1"/>
  <c r="L40" i="1"/>
  <c r="M15" i="1"/>
  <c r="L15" i="1"/>
  <c r="L21" i="1"/>
  <c r="M21" i="1"/>
  <c r="L22" i="1"/>
  <c r="M22" i="1"/>
  <c r="M4" i="1"/>
  <c r="M2" i="1"/>
  <c r="L4" i="1"/>
  <c r="L27" i="1"/>
  <c r="M27" i="1"/>
  <c r="L23" i="1"/>
  <c r="M23" i="1"/>
  <c r="L29" i="1"/>
  <c r="M29" i="1"/>
  <c r="K36" i="1"/>
  <c r="L44" i="1"/>
  <c r="M45" i="1"/>
  <c r="L48" i="1"/>
  <c r="M49" i="1"/>
  <c r="L52" i="1"/>
  <c r="E169" i="1"/>
  <c r="J117" i="1"/>
  <c r="J99" i="1"/>
  <c r="K99" i="1" s="1"/>
  <c r="J75" i="1"/>
  <c r="K75" i="1" s="1"/>
  <c r="L75" i="1" s="1"/>
  <c r="J74" i="1"/>
  <c r="K74" i="1" s="1"/>
  <c r="L74" i="1" s="1"/>
  <c r="J73" i="1"/>
  <c r="K73" i="1" s="1"/>
  <c r="L73" i="1" s="1"/>
  <c r="J38" i="1"/>
  <c r="K38" i="1" s="1"/>
  <c r="E178" i="1"/>
  <c r="E174" i="1"/>
  <c r="G174" i="1" s="1"/>
  <c r="E166" i="1"/>
  <c r="G166" i="1" s="1"/>
  <c r="J57" i="1"/>
  <c r="J56" i="1"/>
  <c r="J55" i="1"/>
  <c r="J54" i="1"/>
  <c r="J53" i="1"/>
  <c r="J37" i="1"/>
  <c r="J17" i="1"/>
  <c r="K17" i="1" s="1"/>
  <c r="J16" i="1"/>
  <c r="K16" i="1" s="1"/>
  <c r="E167" i="1"/>
  <c r="G167" i="1" s="1"/>
  <c r="E168" i="1"/>
  <c r="E164" i="1"/>
  <c r="J132" i="1"/>
  <c r="K132" i="1" s="1"/>
  <c r="L132" i="1" s="1"/>
  <c r="J103" i="1"/>
  <c r="K103" i="1" s="1"/>
  <c r="L103" i="1" s="1"/>
  <c r="J64" i="1"/>
  <c r="K64" i="1" s="1"/>
  <c r="G164" i="1"/>
  <c r="G168" i="1"/>
  <c r="L10" i="1"/>
  <c r="M24" i="1"/>
  <c r="M39" i="1"/>
  <c r="L39" i="1"/>
  <c r="K53" i="1"/>
  <c r="K55" i="1"/>
  <c r="K57" i="1"/>
  <c r="M63" i="1"/>
  <c r="L63" i="1"/>
  <c r="M81" i="1"/>
  <c r="L81" i="1"/>
  <c r="M85" i="1"/>
  <c r="L85" i="1"/>
  <c r="M89" i="1"/>
  <c r="L89" i="1"/>
  <c r="M93" i="1"/>
  <c r="L93" i="1"/>
  <c r="G169" i="1"/>
  <c r="G177" i="1"/>
  <c r="L7" i="1"/>
  <c r="L8" i="1"/>
  <c r="L9" i="1"/>
  <c r="L11" i="1"/>
  <c r="L12" i="1"/>
  <c r="L13" i="1"/>
  <c r="M5" i="1"/>
  <c r="M6" i="1"/>
  <c r="M14" i="1"/>
  <c r="K37" i="1"/>
  <c r="L46" i="1"/>
  <c r="L50" i="1"/>
  <c r="L67" i="1"/>
  <c r="M65" i="1"/>
  <c r="L79" i="1"/>
  <c r="L80" i="1"/>
  <c r="L83" i="1"/>
  <c r="L84" i="1"/>
  <c r="L87" i="1"/>
  <c r="L88" i="1"/>
  <c r="L91" i="1"/>
  <c r="L92" i="1"/>
  <c r="K117" i="1"/>
  <c r="L117" i="1" s="1"/>
  <c r="L130" i="1"/>
  <c r="G178" i="1"/>
  <c r="M20" i="1"/>
  <c r="E158" i="1"/>
  <c r="M18" i="1"/>
  <c r="M41" i="1"/>
  <c r="K54" i="1"/>
  <c r="K56" i="1"/>
  <c r="L78" i="1"/>
  <c r="M76" i="1"/>
  <c r="M78" i="1"/>
  <c r="L82" i="1"/>
  <c r="M82" i="1"/>
  <c r="L86" i="1"/>
  <c r="M86" i="1"/>
  <c r="L90" i="1"/>
  <c r="M90" i="1"/>
  <c r="L94" i="1"/>
  <c r="M94" i="1"/>
  <c r="L111" i="1"/>
  <c r="P159" i="1"/>
  <c r="J151" i="1"/>
  <c r="K151" i="1" s="1"/>
  <c r="M151" i="1" s="1"/>
  <c r="L151" i="1" s="1"/>
  <c r="J60" i="1"/>
  <c r="K60" i="1" s="1"/>
  <c r="J61" i="1"/>
  <c r="K61" i="1" s="1"/>
  <c r="J62" i="1"/>
  <c r="K62" i="1" s="1"/>
  <c r="J72" i="1"/>
  <c r="J113" i="1"/>
  <c r="K113" i="1" s="1"/>
  <c r="L113" i="1" s="1"/>
  <c r="J121" i="1"/>
  <c r="K121" i="1" s="1"/>
  <c r="L121" i="1" s="1"/>
  <c r="J126" i="1"/>
  <c r="K126" i="1" s="1"/>
  <c r="L126" i="1" s="1"/>
  <c r="E172" i="1"/>
  <c r="G172" i="1" s="1"/>
  <c r="E176" i="1"/>
  <c r="G176" i="1" s="1"/>
  <c r="E171" i="1"/>
  <c r="G171" i="1" s="1"/>
  <c r="E175" i="1"/>
  <c r="G175" i="1" s="1"/>
  <c r="E179" i="1"/>
  <c r="G179" i="1" s="1"/>
  <c r="J134" i="1"/>
  <c r="K134" i="1" s="1"/>
  <c r="L134" i="1" s="1"/>
  <c r="E173" i="1"/>
  <c r="G173" i="1" s="1"/>
  <c r="L17" i="1" l="1"/>
  <c r="M17" i="1"/>
  <c r="L99" i="1"/>
  <c r="M95" i="1"/>
  <c r="M16" i="1"/>
  <c r="L16" i="1"/>
  <c r="K158" i="1"/>
  <c r="K159" i="1" s="1"/>
  <c r="M56" i="1"/>
  <c r="L56" i="1"/>
  <c r="M53" i="1"/>
  <c r="L53" i="1"/>
  <c r="M62" i="1"/>
  <c r="L62" i="1"/>
  <c r="M54" i="1"/>
  <c r="L54" i="1"/>
  <c r="M64" i="1"/>
  <c r="L64" i="1"/>
  <c r="M61" i="1"/>
  <c r="L61" i="1"/>
  <c r="M37" i="1"/>
  <c r="L37" i="1"/>
  <c r="M57" i="1"/>
  <c r="L57" i="1"/>
  <c r="M38" i="1"/>
  <c r="L38" i="1"/>
  <c r="M60" i="1"/>
  <c r="L60" i="1"/>
  <c r="M58" i="1"/>
  <c r="M55" i="1"/>
  <c r="L55" i="1"/>
  <c r="L36" i="1"/>
  <c r="M36" i="1"/>
  <c r="M34" i="1"/>
  <c r="P158" i="1" l="1"/>
  <c r="P58" i="1" s="1"/>
  <c r="K161" i="1" l="1"/>
  <c r="E161" i="1" s="1"/>
  <c r="P76" i="1" s="1"/>
  <c r="P65" i="1"/>
  <c r="P160" i="1"/>
  <c r="P18" i="1"/>
  <c r="P2" i="1"/>
  <c r="P41" i="1"/>
  <c r="P95" i="1"/>
  <c r="P34" i="1"/>
  <c r="P161" i="1" l="1"/>
</calcChain>
</file>

<file path=xl/sharedStrings.xml><?xml version="1.0" encoding="utf-8"?>
<sst xmlns="http://schemas.openxmlformats.org/spreadsheetml/2006/main" count="555" uniqueCount="361">
  <si>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</si>
  <si>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</si>
  <si>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</si>
  <si>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</si>
  <si>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</si>
  <si>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</si>
  <si>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</si>
  <si>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</si>
  <si>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</si>
  <si>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</si>
  <si>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</si>
  <si>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</si>
  <si>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</si>
  <si>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</si>
  <si>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</si>
  <si>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</si>
  <si>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</si>
  <si>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</si>
  <si>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</si>
  <si>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</si>
  <si>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2. Wheathon Precious Metals</t>
  </si>
  <si>
    <t>WPM</t>
  </si>
  <si>
    <t>3.Aurcana Silver Corp</t>
  </si>
  <si>
    <t>AUN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</si>
  <si>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</si>
  <si>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</si>
  <si>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</si>
  <si>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</si>
  <si>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</si>
  <si>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</si>
  <si>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</si>
  <si>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</si>
  <si>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</si>
  <si>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</si>
  <si>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</si>
  <si>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</si>
  <si>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</si>
  <si>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</si>
  <si>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</si>
  <si>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</si>
  <si>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</si>
  <si>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</si>
  <si>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</si>
  <si>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</si>
  <si>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14. First Majestic Silver</t>
  </si>
  <si>
    <t>AG</t>
  </si>
  <si>
    <t>Golden eggs Basket (15-20 open positions)</t>
  </si>
  <si>
    <t xml:space="preserve">1.Tudor Gold Corp </t>
  </si>
  <si>
    <t>TUD^</t>
  </si>
  <si>
    <t>4. Karora Resources Inc</t>
  </si>
  <si>
    <t>KRR</t>
  </si>
  <si>
    <t>7.Silver Viper Minerals</t>
  </si>
  <si>
    <t>VIPR</t>
  </si>
  <si>
    <t>11. KORE Mining Ltd</t>
  </si>
  <si>
    <t>KORE</t>
  </si>
  <si>
    <t>12. Fortune Bay Corp</t>
  </si>
  <si>
    <t>FOR</t>
  </si>
  <si>
    <t>15. Reyna Silver Corp</t>
  </si>
  <si>
    <t>RSLV</t>
  </si>
  <si>
    <t>17. Plato Gold Corp</t>
  </si>
  <si>
    <t>PGC^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</si>
  <si>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</si>
  <si>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</si>
  <si>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</si>
  <si>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</si>
  <si>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</si>
  <si>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</si>
  <si>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</si>
  <si>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</si>
  <si>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</si>
  <si>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</si>
  <si>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</si>
  <si>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</si>
  <si>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</si>
  <si>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</si>
  <si>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</si>
  <si>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>Boring Dividend Income (10-15 open positions)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</si>
  <si>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</si>
  <si>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</si>
  <si>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</si>
  <si>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</si>
  <si>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</si>
  <si>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</si>
  <si>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</si>
  <si>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</si>
  <si>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</si>
  <si>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</si>
  <si>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</si>
  <si>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</si>
  <si>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</si>
  <si>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</si>
  <si>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</si>
  <si>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</si>
  <si>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</si>
  <si>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</si>
  <si>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</si>
  <si>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</si>
  <si>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</si>
  <si>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</si>
  <si>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</si>
  <si>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</si>
  <si>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</si>
  <si>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</si>
  <si>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</si>
  <si>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</si>
  <si>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</si>
  <si>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</si>
  <si>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</si>
  <si>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3a. Uranium Royalty Corp</t>
  </si>
  <si>
    <t>URC</t>
  </si>
  <si>
    <t>8a. Energy Fuels</t>
  </si>
  <si>
    <t>UUUU</t>
  </si>
  <si>
    <t>6a. Denison Mines Corp</t>
  </si>
  <si>
    <t>DNN</t>
  </si>
  <si>
    <t>2a. UR-Energy</t>
  </si>
  <si>
    <t>URG</t>
  </si>
  <si>
    <t>9a Uranium Energy Corp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</si>
  <si>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</si>
  <si>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</si>
  <si>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</si>
  <si>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</si>
  <si>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</si>
  <si>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</si>
  <si>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Briton Metals</t>
  </si>
  <si>
    <t>BBB</t>
  </si>
  <si>
    <t>10. Atalaya Mining</t>
  </si>
  <si>
    <t>ATYM</t>
  </si>
  <si>
    <t>11. Trilogy Metals</t>
  </si>
  <si>
    <t>TMQ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</si>
  <si>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</si>
  <si>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</si>
  <si>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</si>
  <si>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</si>
  <si>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</si>
  <si>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</si>
  <si>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</si>
  <si>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</si>
  <si>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</si>
  <si>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</si>
  <si>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</si>
  <si>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</si>
  <si>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</si>
  <si>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</si>
  <si>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</si>
  <si>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</si>
  <si>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</si>
  <si>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</si>
  <si>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</si>
  <si>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11. Band Protocol</t>
  </si>
  <si>
    <t>BAND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</si>
  <si>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</si>
  <si>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</si>
  <si>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</si>
  <si>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</si>
  <si>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</si>
  <si>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</si>
  <si>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</si>
  <si>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</si>
  <si>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</si>
  <si>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20. AmpleForth Gov token</t>
  </si>
  <si>
    <t>FORTH</t>
  </si>
  <si>
    <t>21. 1inch</t>
  </si>
  <si>
    <t>1INCH</t>
  </si>
  <si>
    <t>22. Internet computer</t>
  </si>
  <si>
    <t>ICP</t>
  </si>
  <si>
    <t>23. Solana</t>
  </si>
  <si>
    <t>SOL</t>
  </si>
  <si>
    <t>24. Maker</t>
  </si>
  <si>
    <t>MKR</t>
  </si>
  <si>
    <t>25. Amp</t>
  </si>
  <si>
    <t>AMP</t>
  </si>
  <si>
    <t>26. Polygon</t>
  </si>
  <si>
    <t>MATIC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</si>
  <si>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</si>
  <si>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</si>
  <si>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</si>
  <si>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</si>
  <si>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</si>
  <si>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</si>
  <si>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</si>
  <si>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</si>
  <si>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</si>
  <si>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</si>
  <si>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Free Growth Stocks (FGS)</t>
  </si>
  <si>
    <t>3. Bitcoin</t>
  </si>
  <si>
    <t>BTC</t>
  </si>
  <si>
    <t>crypto</t>
  </si>
  <si>
    <t>6. First Majestic Silver</t>
  </si>
  <si>
    <t>precious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</si>
  <si>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</si>
  <si>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</si>
  <si>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</si>
  <si>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</si>
  <si>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</si>
  <si>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</si>
  <si>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</si>
  <si>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</si>
  <si>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</si>
  <si>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</si>
  <si>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</si>
  <si>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</si>
  <si>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</si>
  <si>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</si>
  <si>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</si>
  <si>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</si>
  <si>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</si>
  <si>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</si>
  <si>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</si>
  <si>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</si>
  <si>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</si>
  <si>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</si>
  <si>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</si>
  <si>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</si>
  <si>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</si>
  <si>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</si>
  <si>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</si>
  <si>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</si>
  <si>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</si>
  <si>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</si>
  <si>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</si>
  <si>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</si>
  <si>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</si>
  <si>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</si>
  <si>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</si>
  <si>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27. Ivanhoe Mines</t>
  </si>
  <si>
    <t>IVN</t>
  </si>
  <si>
    <t>battery</t>
  </si>
  <si>
    <t>28. Uranium Energy Corp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</si>
  <si>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</si>
  <si>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</si>
  <si>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</si>
  <si>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</si>
  <si>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</si>
  <si>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</si>
  <si>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</si>
  <si>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</si>
  <si>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</si>
  <si>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</si>
  <si>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</si>
  <si>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</si>
  <si>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</si>
  <si>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</si>
  <si>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</si>
  <si>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</si>
  <si>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</si>
  <si>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</si>
  <si>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</si>
  <si>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</si>
  <si>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</si>
  <si>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</si>
  <si>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</si>
  <si>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</si>
  <si>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</si>
  <si>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</si>
  <si>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</si>
  <si>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GLO</t>
  </si>
  <si>
    <t>43. Energy Fuels</t>
  </si>
  <si>
    <t>44. Denison Mines Corp</t>
  </si>
  <si>
    <t>45. Boss Energy Ltd</t>
  </si>
  <si>
    <t>BOE</t>
  </si>
  <si>
    <t>Closed positions</t>
  </si>
  <si>
    <t>Results</t>
  </si>
  <si>
    <t>ticker</t>
  </si>
  <si>
    <t>date</t>
  </si>
  <si>
    <t>Resultaat 2018-20</t>
  </si>
  <si>
    <t>Resultaat Q1 2021</t>
  </si>
  <si>
    <t>Resultaat Q2 2021</t>
  </si>
  <si>
    <t>Resultaat Q3 2021</t>
  </si>
  <si>
    <t>Resultaat Q4 2021</t>
  </si>
  <si>
    <t>Sibayne Stillwater</t>
  </si>
  <si>
    <t>GoviEx Uranium Ltd</t>
  </si>
  <si>
    <t>Laramide Resources Ltd</t>
  </si>
  <si>
    <t>Fission Uranium Corp</t>
  </si>
  <si>
    <t>Sandstorm Gold</t>
  </si>
  <si>
    <t>Silvercrest Metals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</si>
  <si>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</si>
  <si>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</si>
  <si>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</si>
  <si>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</si>
  <si>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</si>
  <si>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</si>
  <si>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</si>
  <si>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</si>
  <si>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</si>
  <si>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</si>
  <si>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</si>
  <si>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</si>
  <si>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</si>
  <si>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</si>
  <si>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</si>
  <si>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</si>
  <si>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</si>
  <si>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</si>
  <si>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</si>
  <si>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</si>
  <si>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</si>
  <si>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</si>
  <si>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</si>
  <si>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</si>
  <si>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</si>
  <si>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</si>
  <si>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</si>
  <si>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</si>
  <si>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</si>
  <si>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</si>
  <si>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</si>
  <si>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</si>
  <si>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</si>
  <si>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</si>
  <si>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</si>
  <si>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</si>
  <si>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</si>
  <si>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</si>
  <si>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</si>
  <si>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</si>
  <si>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</si>
  <si>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</si>
  <si>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</si>
  <si>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</si>
  <si>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</si>
  <si>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</si>
  <si>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</si>
  <si>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</si>
  <si>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</si>
  <si>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</si>
  <si>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</si>
  <si>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</si>
  <si>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</si>
  <si>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BHP group</t>
  </si>
  <si>
    <t>BBL</t>
  </si>
  <si>
    <t>Buy on dip in stock on 200 day SMA of 5 year trend/ 10% dividend stock</t>
  </si>
  <si>
    <t xml:space="preserve">Rio Tinto </t>
  </si>
  <si>
    <t>RIO</t>
  </si>
  <si>
    <t>Buy on dip in stock on 200 day SMA/ 14% dividend stock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</si>
  <si>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</si>
  <si>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</si>
  <si>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</si>
  <si>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</si>
  <si>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</si>
  <si>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</si>
  <si>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</si>
  <si>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</si>
  <si>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</si>
  <si>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</si>
  <si>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</si>
  <si>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</si>
  <si>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</si>
  <si>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</si>
  <si>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</si>
  <si>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</si>
  <si>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</si>
  <si>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</si>
  <si>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Blackrock Silver</t>
  </si>
  <si>
    <t>BRC</t>
  </si>
  <si>
    <t>Cassiar Gold</t>
  </si>
  <si>
    <t>GLDC</t>
  </si>
  <si>
    <t>Silver Hammer</t>
  </si>
  <si>
    <t>HAMRF</t>
  </si>
  <si>
    <t>OTC</t>
  </si>
  <si>
    <t>Lion One Metals</t>
  </si>
  <si>
    <t>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</si>
</sst>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5" fillId="4" borderId="5" xfId="0" applyNumberFormat="1" applyFont="1" applyFill="1" applyBorder="1"/>
    <xf numFmtId="2" fontId="4" fillId="0" borderId="1" xfId="0" applyNumberFormat="1" applyFont="1" applyBorder="1"/>
    <xf numFmtId="166" fontId="6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7" fillId="0" borderId="1" xfId="3" applyNumberFormat="1" applyFont="1" applyBorder="1"/>
    <xf numFmtId="2" fontId="5" fillId="4" borderId="1" xfId="0" applyNumberFormat="1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168" fontId="4" fillId="0" borderId="1" xfId="1" applyNumberFormat="1" applyFont="1" applyBorder="1"/>
    <xf numFmtId="169" fontId="5" fillId="4" borderId="5" xfId="0" applyNumberFormat="1" applyFont="1" applyFill="1" applyBorder="1"/>
    <xf numFmtId="1" fontId="4" fillId="0" borderId="1" xfId="0" applyNumberFormat="1" applyFont="1" applyBorder="1"/>
    <xf numFmtId="0" fontId="6" fillId="0" borderId="1" xfId="3" applyNumberFormat="1" applyFont="1" applyBorder="1"/>
    <xf numFmtId="169" fontId="5" fillId="4" borderId="1" xfId="0" applyNumberFormat="1" applyFont="1" applyFill="1" applyBorder="1"/>
    <xf numFmtId="2" fontId="4" fillId="4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7" fillId="0" borderId="1" xfId="3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4" fillId="8" borderId="1" xfId="0" applyFont="1" applyFill="1" applyBorder="1"/>
    <xf numFmtId="169" fontId="4" fillId="0" borderId="1" xfId="0" applyNumberFormat="1" applyFont="1" applyBorder="1"/>
    <xf numFmtId="2" fontId="4" fillId="9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/>
    </xf>
    <xf numFmtId="167" fontId="4" fillId="9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0" fillId="0" borderId="5" xfId="0" applyNumberFormat="1" applyFont="1" applyBorder="1"/>
    <xf numFmtId="166" fontId="4" fillId="0" borderId="1" xfId="3" applyNumberFormat="1" applyFont="1" applyBorder="1"/>
    <xf numFmtId="2" fontId="5" fillId="0" borderId="5" xfId="0" applyNumberFormat="1" applyFont="1" applyBorder="1"/>
    <xf numFmtId="2" fontId="5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7" fontId="4" fillId="4" borderId="1" xfId="0" applyNumberFormat="1" applyFont="1" applyFill="1" applyBorder="1"/>
    <xf numFmtId="43" fontId="4" fillId="0" borderId="1" xfId="1" applyFont="1" applyFill="1" applyBorder="1"/>
    <xf numFmtId="43" fontId="4" fillId="0" borderId="1" xfId="1" applyFont="1" applyFill="1" applyBorder="1" applyAlignment="1">
      <alignment horizontal="right"/>
    </xf>
    <xf numFmtId="0" fontId="8" fillId="0" borderId="1" xfId="0" applyFont="1" applyBorder="1"/>
    <xf numFmtId="173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7" fontId="7" fillId="0" borderId="1" xfId="0" applyNumberFormat="1" applyFont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1.1325028312570782</v>
          </cell>
          <cell r="G3">
            <v>3.8</v>
          </cell>
          <cell r="J3">
            <v>1.0900000000000001</v>
          </cell>
          <cell r="M3">
            <v>3.33</v>
          </cell>
          <cell r="P3">
            <v>0.43</v>
          </cell>
        </row>
        <row r="4">
          <cell r="D4">
            <v>1.4442518775274407</v>
          </cell>
          <cell r="G4">
            <v>5.39</v>
          </cell>
          <cell r="M4">
            <v>1.1850000000000001</v>
          </cell>
          <cell r="P4">
            <v>2.99</v>
          </cell>
        </row>
        <row r="5">
          <cell r="D5">
            <v>1.5787811809283234</v>
          </cell>
          <cell r="G5">
            <v>51.74</v>
          </cell>
          <cell r="J5">
            <v>0.03</v>
          </cell>
          <cell r="M5">
            <v>3.39</v>
          </cell>
          <cell r="P5">
            <v>0.36499999999999999</v>
          </cell>
        </row>
        <row r="6">
          <cell r="D6">
            <v>0.83333333333333337</v>
          </cell>
          <cell r="G6">
            <v>31.74</v>
          </cell>
          <cell r="M6">
            <v>6.23</v>
          </cell>
          <cell r="P6">
            <v>1.5149999999999999</v>
          </cell>
          <cell r="S6">
            <v>11.66</v>
          </cell>
          <cell r="W6">
            <v>32.200000000000003</v>
          </cell>
        </row>
        <row r="7">
          <cell r="G7">
            <v>23.434999999999999</v>
          </cell>
          <cell r="J7">
            <v>6.82</v>
          </cell>
          <cell r="M7">
            <v>0.2</v>
          </cell>
          <cell r="W7">
            <v>3409</v>
          </cell>
        </row>
        <row r="8">
          <cell r="J8">
            <v>43.5</v>
          </cell>
          <cell r="M8">
            <v>1.29</v>
          </cell>
          <cell r="S8">
            <v>147.77000000000001</v>
          </cell>
          <cell r="W8">
            <v>67.67</v>
          </cell>
        </row>
        <row r="9">
          <cell r="J9">
            <v>0.33</v>
          </cell>
          <cell r="M9">
            <v>0.75</v>
          </cell>
          <cell r="S9">
            <v>6.82</v>
          </cell>
          <cell r="W9">
            <v>4.1100000000000003</v>
          </cell>
        </row>
        <row r="10">
          <cell r="C10">
            <v>3052.03</v>
          </cell>
          <cell r="J10">
            <v>3.81</v>
          </cell>
          <cell r="M10">
            <v>8.5000000000000006E-2</v>
          </cell>
          <cell r="S10">
            <v>7</v>
          </cell>
          <cell r="W10">
            <v>64.180000000000007</v>
          </cell>
        </row>
        <row r="11">
          <cell r="J11">
            <v>8.64</v>
          </cell>
          <cell r="M11">
            <v>0.49</v>
          </cell>
          <cell r="S11">
            <v>4.28</v>
          </cell>
          <cell r="W11">
            <v>69.45</v>
          </cell>
        </row>
        <row r="12">
          <cell r="J12">
            <v>0.41249999999999998</v>
          </cell>
          <cell r="M12">
            <v>2.0699999999999998</v>
          </cell>
          <cell r="S12">
            <v>0.51</v>
          </cell>
          <cell r="W12">
            <v>19.850000000000001</v>
          </cell>
        </row>
        <row r="13">
          <cell r="J13">
            <v>8.2899999999999991</v>
          </cell>
          <cell r="M13">
            <v>0.32</v>
          </cell>
          <cell r="W13">
            <v>0.85</v>
          </cell>
        </row>
        <row r="14">
          <cell r="J14">
            <v>16.850000000000001</v>
          </cell>
          <cell r="M14">
            <v>0.78</v>
          </cell>
          <cell r="S14">
            <v>4.1500000000000004</v>
          </cell>
          <cell r="W14">
            <v>0.6</v>
          </cell>
        </row>
        <row r="15">
          <cell r="J15">
            <v>0.33</v>
          </cell>
          <cell r="M15">
            <v>2.69</v>
          </cell>
          <cell r="T15">
            <v>3.9278451761987285</v>
          </cell>
          <cell r="W15">
            <v>1.3149999999999999</v>
          </cell>
        </row>
        <row r="16">
          <cell r="J16">
            <v>4.24</v>
          </cell>
          <cell r="M16">
            <v>0.28000000000000003</v>
          </cell>
          <cell r="S16">
            <v>1.1599999999999999</v>
          </cell>
          <cell r="W16">
            <v>8.76</v>
          </cell>
        </row>
        <row r="17">
          <cell r="J17">
            <v>0.28499999999999998</v>
          </cell>
          <cell r="M17">
            <v>1.2715000000000001</v>
          </cell>
          <cell r="S17">
            <v>11.12</v>
          </cell>
          <cell r="W17">
            <v>10.3</v>
          </cell>
        </row>
        <row r="18">
          <cell r="J18">
            <v>0.7</v>
          </cell>
          <cell r="M18">
            <v>0.31</v>
          </cell>
          <cell r="S18">
            <v>2.88</v>
          </cell>
          <cell r="W18">
            <v>441</v>
          </cell>
        </row>
        <row r="19">
          <cell r="J19">
            <v>4.05</v>
          </cell>
          <cell r="M19">
            <v>0.56000000000000005</v>
          </cell>
          <cell r="S19">
            <v>0.72499999999999998</v>
          </cell>
          <cell r="W19">
            <v>0.16</v>
          </cell>
        </row>
        <row r="20">
          <cell r="J20">
            <v>1.51</v>
          </cell>
          <cell r="S20">
            <v>0.17</v>
          </cell>
        </row>
        <row r="21">
          <cell r="J21">
            <v>16.52</v>
          </cell>
          <cell r="W21">
            <v>1.2</v>
          </cell>
        </row>
        <row r="23">
          <cell r="J23">
            <v>2.16</v>
          </cell>
        </row>
        <row r="26">
          <cell r="J26">
            <v>5.26</v>
          </cell>
        </row>
        <row r="28">
          <cell r="J28">
            <v>0.46</v>
          </cell>
        </row>
        <row r="31">
          <cell r="J31">
            <v>0.41</v>
          </cell>
        </row>
        <row r="32">
          <cell r="J32">
            <v>0.64</v>
          </cell>
        </row>
        <row r="35">
          <cell r="J35">
            <v>0.69</v>
          </cell>
        </row>
        <row r="36">
          <cell r="J36">
            <v>2.41</v>
          </cell>
        </row>
        <row r="37">
          <cell r="J37">
            <v>0.03</v>
          </cell>
        </row>
        <row r="39">
          <cell r="J39">
            <v>1.1499999999999999</v>
          </cell>
        </row>
        <row r="40">
          <cell r="J40">
            <v>0.47</v>
          </cell>
        </row>
        <row r="41">
          <cell r="J41">
            <v>1.18</v>
          </cell>
        </row>
        <row r="42">
          <cell r="J42">
            <v>0.89</v>
          </cell>
        </row>
        <row r="43">
          <cell r="J43">
            <v>0.255</v>
          </cell>
        </row>
      </sheetData>
      <sheetData sheetId="1">
        <row r="2">
          <cell r="C2">
            <v>35600.114800000003</v>
          </cell>
        </row>
        <row r="3">
          <cell r="C3">
            <v>2483.9029999999998</v>
          </cell>
        </row>
        <row r="4">
          <cell r="C4">
            <v>103.08159999999999</v>
          </cell>
        </row>
        <row r="5">
          <cell r="C5">
            <v>277.916</v>
          </cell>
        </row>
        <row r="6">
          <cell r="C6">
            <v>0.83399999999999996</v>
          </cell>
        </row>
        <row r="7">
          <cell r="C7">
            <v>8.3062070000000006</v>
          </cell>
        </row>
        <row r="8">
          <cell r="C8">
            <v>4.3499455999999999</v>
          </cell>
        </row>
        <row r="9">
          <cell r="C9">
            <v>3.0329571999999998</v>
          </cell>
        </row>
        <row r="10">
          <cell r="C10">
            <v>25.192257999999999</v>
          </cell>
        </row>
        <row r="11">
          <cell r="C11">
            <v>3.2245031000000002</v>
          </cell>
        </row>
        <row r="12">
          <cell r="C12">
            <v>1.9445881</v>
          </cell>
        </row>
        <row r="13">
          <cell r="C13">
            <v>2.391</v>
          </cell>
        </row>
        <row r="14">
          <cell r="C14">
            <v>5.2491166077738516</v>
          </cell>
        </row>
        <row r="15">
          <cell r="C15">
            <v>1.3187538000000001</v>
          </cell>
        </row>
        <row r="16">
          <cell r="C16">
            <v>16.788954</v>
          </cell>
        </row>
        <row r="17">
          <cell r="C17">
            <v>76.89</v>
          </cell>
        </row>
        <row r="18">
          <cell r="C18">
            <v>1616.139575971732</v>
          </cell>
        </row>
        <row r="19">
          <cell r="C19">
            <v>0.34928439</v>
          </cell>
        </row>
        <row r="20">
          <cell r="C20">
            <v>0.17530000000000001</v>
          </cell>
        </row>
        <row r="21">
          <cell r="C21">
            <v>0.75294309999999998</v>
          </cell>
        </row>
        <row r="22">
          <cell r="C22">
            <v>101.96113074204951</v>
          </cell>
        </row>
        <row r="23">
          <cell r="C23">
            <v>12.95</v>
          </cell>
        </row>
        <row r="24">
          <cell r="C24">
            <v>22.870757000000001</v>
          </cell>
        </row>
        <row r="25">
          <cell r="C25">
            <v>85.118761000000006</v>
          </cell>
        </row>
        <row r="26">
          <cell r="C26">
            <v>17.530422000000002</v>
          </cell>
        </row>
        <row r="27">
          <cell r="C27">
            <v>2.5035335689045941E-2</v>
          </cell>
        </row>
        <row r="28">
          <cell r="C28">
            <v>1.36</v>
          </cell>
        </row>
        <row r="29">
          <cell r="C29">
            <v>90.750387000000003</v>
          </cell>
        </row>
        <row r="30">
          <cell r="C30">
            <v>0.40250000000000002</v>
          </cell>
        </row>
        <row r="31">
          <cell r="C31">
            <v>0.73087559999999996</v>
          </cell>
        </row>
        <row r="32">
          <cell r="C32">
            <v>0.16497663000000001</v>
          </cell>
        </row>
        <row r="33">
          <cell r="C33">
            <v>14.95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P3">
            <v>0.56999999999999995</v>
          </cell>
        </row>
        <row r="4">
          <cell r="P4">
            <v>0.75</v>
          </cell>
        </row>
        <row r="5">
          <cell r="P5">
            <v>0.54</v>
          </cell>
        </row>
        <row r="6">
          <cell r="P6">
            <v>4.38</v>
          </cell>
        </row>
        <row r="7">
          <cell r="P7">
            <v>2.78</v>
          </cell>
        </row>
        <row r="8">
          <cell r="P8">
            <v>1.6E-2</v>
          </cell>
        </row>
        <row r="9">
          <cell r="P9">
            <v>0.72</v>
          </cell>
        </row>
        <row r="10">
          <cell r="P10">
            <v>0.06</v>
          </cell>
        </row>
        <row r="11">
          <cell r="P11">
            <v>1.6E-2</v>
          </cell>
        </row>
        <row r="14">
          <cell r="P14">
            <v>4.1300000000000008</v>
          </cell>
        </row>
        <row r="34">
          <cell r="P34">
            <v>4.9000000000000009E-2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B2A1-46F0-2449-A602-CEA78C471AD6}">
  <dimension ref="A1:P180"/>
  <sheetViews>
    <sheetView tabSelected="1" workbookViewId="0">
      <selection activeCell="R5" sqref="R5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" customWidth="1"/>
    <col min="12" max="12" width="6.33203125" bestFit="1" customWidth="1"/>
    <col min="13" max="13" width="9.66406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44612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SUM(K4:K15)</f>
        <v>15298.067599999998</v>
      </c>
      <c r="N2" s="10"/>
      <c r="O2" s="11"/>
      <c r="P2" s="12">
        <f>M2/P158</f>
        <v>0.27298681819602927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6" t="s">
        <v>14</v>
      </c>
      <c r="N3" s="17" t="s">
        <v>15</v>
      </c>
      <c r="O3" s="18" t="s">
        <v>16</v>
      </c>
      <c r="P3" s="16" t="s">
        <v>17</v>
      </c>
    </row>
    <row r="4" spans="1:16" x14ac:dyDescent="0.2">
      <c r="A4" s="19" t="s">
        <v>18</v>
      </c>
      <c r="B4" s="19" t="s">
        <v>19</v>
      </c>
      <c r="C4" s="20">
        <v>44193</v>
      </c>
      <c r="D4" s="19">
        <v>100</v>
      </c>
      <c r="E4" s="21">
        <v>1.1766000000000001</v>
      </c>
      <c r="F4" s="22">
        <v>6.32</v>
      </c>
      <c r="G4" s="23">
        <f t="shared" ref="G4:G98" si="0">(F4*D4)/E4</f>
        <v>537.14091449940497</v>
      </c>
      <c r="H4" s="24">
        <f>'[1]auto data'!J7</f>
        <v>6.82</v>
      </c>
      <c r="I4" s="25">
        <f>[1]Dividend!P11</f>
        <v>1.6E-2</v>
      </c>
      <c r="J4" s="21">
        <f>C153</f>
        <v>1.1325028312570782</v>
      </c>
      <c r="K4" s="23">
        <f t="shared" ref="K4:K17" si="1">((H4+I4)/J4)*D4</f>
        <v>603.61879999999996</v>
      </c>
      <c r="L4" s="26">
        <f t="shared" ref="L4:L17" si="2">(K4-G4)/G4</f>
        <v>0.12376246848101279</v>
      </c>
      <c r="M4" s="27">
        <f t="shared" ref="M4:M17" si="3">K4-G4</f>
        <v>66.477885500594994</v>
      </c>
      <c r="N4" s="28">
        <v>8.4</v>
      </c>
      <c r="O4" s="29">
        <f>(N4+I4)*0.75</f>
        <v>6.3120000000000003</v>
      </c>
      <c r="P4" s="30">
        <f t="shared" ref="P4:P17" si="4">O4-F4</f>
        <v>-8.0000000000000071E-3</v>
      </c>
    </row>
    <row r="5" spans="1:16" x14ac:dyDescent="0.2">
      <c r="A5" s="19" t="s">
        <v>20</v>
      </c>
      <c r="B5" s="19" t="s">
        <v>21</v>
      </c>
      <c r="C5" s="20">
        <v>44195</v>
      </c>
      <c r="D5" s="19">
        <v>30</v>
      </c>
      <c r="E5" s="21">
        <v>1.2286999999999999</v>
      </c>
      <c r="F5" s="22">
        <v>42.5</v>
      </c>
      <c r="G5" s="23">
        <f t="shared" si="0"/>
        <v>1037.6821030357289</v>
      </c>
      <c r="H5" s="24">
        <f>'[1]auto data'!J8</f>
        <v>43.5</v>
      </c>
      <c r="I5" s="25">
        <f>[1]Dividend!P3</f>
        <v>0.56999999999999995</v>
      </c>
      <c r="J5" s="21">
        <f>C153</f>
        <v>1.1325028312570782</v>
      </c>
      <c r="K5" s="23">
        <f t="shared" si="1"/>
        <v>1167.4142999999999</v>
      </c>
      <c r="L5" s="26">
        <f t="shared" si="2"/>
        <v>0.1250211375764704</v>
      </c>
      <c r="M5" s="27">
        <f t="shared" si="3"/>
        <v>129.732196964271</v>
      </c>
      <c r="N5" s="28">
        <v>47.24</v>
      </c>
      <c r="O5" s="29">
        <f>(N5+I5)*0.75</f>
        <v>35.857500000000002</v>
      </c>
      <c r="P5" s="30">
        <f t="shared" si="4"/>
        <v>-6.6424999999999983</v>
      </c>
    </row>
    <row r="6" spans="1:16" x14ac:dyDescent="0.2">
      <c r="A6" s="31" t="s">
        <v>22</v>
      </c>
      <c r="B6" s="19" t="s">
        <v>23</v>
      </c>
      <c r="C6" s="20">
        <v>44204</v>
      </c>
      <c r="D6" s="19">
        <v>1400</v>
      </c>
      <c r="E6" s="21">
        <v>1.52</v>
      </c>
      <c r="F6" s="22">
        <v>0.62</v>
      </c>
      <c r="G6" s="23">
        <f t="shared" si="0"/>
        <v>571.0526315789474</v>
      </c>
      <c r="H6" s="24">
        <f>'[1]auto data'!J9</f>
        <v>0.33</v>
      </c>
      <c r="I6" s="25">
        <v>0</v>
      </c>
      <c r="J6" s="21">
        <f>C154</f>
        <v>1.4442518775274407</v>
      </c>
      <c r="K6" s="23">
        <f t="shared" si="1"/>
        <v>319.88880000000006</v>
      </c>
      <c r="L6" s="32">
        <f t="shared" si="2"/>
        <v>-0.43982606451612893</v>
      </c>
      <c r="M6" s="27">
        <f t="shared" si="3"/>
        <v>-251.16383157894734</v>
      </c>
      <c r="N6" s="28">
        <v>0.39</v>
      </c>
      <c r="O6" s="29">
        <f>(N6+I6)*0.66</f>
        <v>0.25740000000000002</v>
      </c>
      <c r="P6" s="30">
        <f t="shared" si="4"/>
        <v>-0.36259999999999998</v>
      </c>
    </row>
    <row r="7" spans="1:16" x14ac:dyDescent="0.2">
      <c r="A7" s="19" t="s">
        <v>24</v>
      </c>
      <c r="B7" s="19" t="s">
        <v>25</v>
      </c>
      <c r="C7" s="20">
        <v>44210</v>
      </c>
      <c r="D7" s="19">
        <v>200</v>
      </c>
      <c r="E7" s="21">
        <v>1.56</v>
      </c>
      <c r="F7" s="22">
        <v>2.52</v>
      </c>
      <c r="G7" s="23">
        <f t="shared" si="0"/>
        <v>323.07692307692304</v>
      </c>
      <c r="H7" s="24">
        <f>'[1]auto data'!J10</f>
        <v>3.81</v>
      </c>
      <c r="I7" s="25">
        <v>0</v>
      </c>
      <c r="J7" s="21">
        <f>C154</f>
        <v>1.4442518775274407</v>
      </c>
      <c r="K7" s="23">
        <f t="shared" si="1"/>
        <v>527.60880000000009</v>
      </c>
      <c r="L7" s="26">
        <f t="shared" si="2"/>
        <v>0.63307485714285761</v>
      </c>
      <c r="M7" s="27">
        <f t="shared" si="3"/>
        <v>204.53187692307705</v>
      </c>
      <c r="N7" s="28">
        <v>3.5</v>
      </c>
      <c r="O7" s="29">
        <f>(N7+I7)*0.66</f>
        <v>2.31</v>
      </c>
      <c r="P7" s="30">
        <f t="shared" si="4"/>
        <v>-0.20999999999999996</v>
      </c>
    </row>
    <row r="8" spans="1:16" x14ac:dyDescent="0.2">
      <c r="A8" s="19" t="s">
        <v>26</v>
      </c>
      <c r="B8" s="19" t="s">
        <v>27</v>
      </c>
      <c r="C8" s="20">
        <v>44211</v>
      </c>
      <c r="D8" s="19">
        <v>50</v>
      </c>
      <c r="E8" s="21">
        <v>1.1615</v>
      </c>
      <c r="F8" s="22">
        <v>8.2349999999999994</v>
      </c>
      <c r="G8" s="23">
        <f t="shared" si="0"/>
        <v>354.49849332759362</v>
      </c>
      <c r="H8" s="24">
        <f>'[1]auto data'!J11</f>
        <v>8.64</v>
      </c>
      <c r="I8" s="25">
        <v>0</v>
      </c>
      <c r="J8" s="21">
        <f>C153</f>
        <v>1.1325028312570782</v>
      </c>
      <c r="K8" s="23">
        <f t="shared" si="1"/>
        <v>381.45600000000002</v>
      </c>
      <c r="L8" s="26">
        <f t="shared" si="2"/>
        <v>7.6044065573770567E-2</v>
      </c>
      <c r="M8" s="27">
        <f t="shared" si="3"/>
        <v>26.957506672406396</v>
      </c>
      <c r="N8" s="28">
        <v>10.15</v>
      </c>
      <c r="O8" s="29">
        <f>(N8+I8)*0.66</f>
        <v>6.6990000000000007</v>
      </c>
      <c r="P8" s="30">
        <f t="shared" si="4"/>
        <v>-1.5359999999999987</v>
      </c>
    </row>
    <row r="9" spans="1:16" x14ac:dyDescent="0.2">
      <c r="A9" s="19" t="s">
        <v>28</v>
      </c>
      <c r="B9" s="19" t="s">
        <v>29</v>
      </c>
      <c r="C9" s="20">
        <v>44250</v>
      </c>
      <c r="D9" s="19">
        <v>750</v>
      </c>
      <c r="E9" s="21">
        <v>1.1871</v>
      </c>
      <c r="F9" s="22">
        <v>8.9</v>
      </c>
      <c r="G9" s="23">
        <f t="shared" si="0"/>
        <v>5622.9466767753347</v>
      </c>
      <c r="H9" s="24">
        <f>'[1]auto data'!J13</f>
        <v>8.2899999999999991</v>
      </c>
      <c r="I9" s="25">
        <v>0</v>
      </c>
      <c r="J9" s="21">
        <f>C153</f>
        <v>1.1325028312570782</v>
      </c>
      <c r="K9" s="23">
        <f t="shared" si="1"/>
        <v>5490.0524999999998</v>
      </c>
      <c r="L9" s="32">
        <f t="shared" si="2"/>
        <v>-2.3634258764044958E-2</v>
      </c>
      <c r="M9" s="27">
        <f t="shared" si="3"/>
        <v>-132.89417677533493</v>
      </c>
      <c r="N9" s="28">
        <v>10.07</v>
      </c>
      <c r="O9" s="29">
        <f>(N9+I9)*0.75</f>
        <v>7.5525000000000002</v>
      </c>
      <c r="P9" s="30">
        <f t="shared" si="4"/>
        <v>-1.3475000000000001</v>
      </c>
    </row>
    <row r="10" spans="1:16" x14ac:dyDescent="0.2">
      <c r="A10" s="19" t="s">
        <v>30</v>
      </c>
      <c r="B10" s="19" t="s">
        <v>31</v>
      </c>
      <c r="C10" s="20">
        <v>44295</v>
      </c>
      <c r="D10" s="19">
        <v>200</v>
      </c>
      <c r="E10" s="21">
        <v>1.1847000000000001</v>
      </c>
      <c r="F10" s="22">
        <v>18.54</v>
      </c>
      <c r="G10" s="23">
        <f t="shared" si="0"/>
        <v>3129.9063053937703</v>
      </c>
      <c r="H10" s="24">
        <f>'[1]auto data'!J14</f>
        <v>16.850000000000001</v>
      </c>
      <c r="I10" s="25">
        <v>0</v>
      </c>
      <c r="J10" s="21">
        <f>C153</f>
        <v>1.1325028312570782</v>
      </c>
      <c r="K10" s="23">
        <f t="shared" si="1"/>
        <v>2975.71</v>
      </c>
      <c r="L10" s="32">
        <f t="shared" si="2"/>
        <v>-4.9265470064724808E-2</v>
      </c>
      <c r="M10" s="27">
        <f t="shared" si="3"/>
        <v>-154.19630539377022</v>
      </c>
      <c r="N10" s="28">
        <v>20.2</v>
      </c>
      <c r="O10" s="29">
        <f>(N10+I10)*0.75</f>
        <v>15.149999999999999</v>
      </c>
      <c r="P10" s="30">
        <f t="shared" si="4"/>
        <v>-3.3900000000000006</v>
      </c>
    </row>
    <row r="11" spans="1:16" x14ac:dyDescent="0.2">
      <c r="A11" s="31" t="s">
        <v>32</v>
      </c>
      <c r="B11" s="19" t="s">
        <v>33</v>
      </c>
      <c r="C11" s="20">
        <v>44313</v>
      </c>
      <c r="D11" s="19">
        <v>2000</v>
      </c>
      <c r="E11" s="21">
        <v>1.4993000000000001</v>
      </c>
      <c r="F11" s="22">
        <v>0.33750000000000002</v>
      </c>
      <c r="G11" s="23">
        <f t="shared" si="0"/>
        <v>450.21009804575465</v>
      </c>
      <c r="H11" s="24">
        <f>'[1]auto data'!J15</f>
        <v>0.33</v>
      </c>
      <c r="I11" s="25">
        <v>0</v>
      </c>
      <c r="J11" s="21">
        <f>C154</f>
        <v>1.4442518775274407</v>
      </c>
      <c r="K11" s="23">
        <f t="shared" si="1"/>
        <v>456.98400000000004</v>
      </c>
      <c r="L11" s="26">
        <f t="shared" si="2"/>
        <v>1.5046090666666833E-2</v>
      </c>
      <c r="M11" s="27">
        <f t="shared" si="3"/>
        <v>6.7739019542453889</v>
      </c>
      <c r="N11" s="28">
        <v>0.44</v>
      </c>
      <c r="O11" s="29">
        <f>(N11+I11)*0.5</f>
        <v>0.22</v>
      </c>
      <c r="P11" s="30">
        <f t="shared" si="4"/>
        <v>-0.11750000000000002</v>
      </c>
    </row>
    <row r="12" spans="1:16" x14ac:dyDescent="0.2">
      <c r="A12" s="19" t="s">
        <v>34</v>
      </c>
      <c r="B12" s="19" t="s">
        <v>35</v>
      </c>
      <c r="C12" s="20">
        <v>44341</v>
      </c>
      <c r="D12" s="19">
        <v>200</v>
      </c>
      <c r="E12" s="21">
        <v>1.2256</v>
      </c>
      <c r="F12" s="22">
        <v>5.0999999999999996</v>
      </c>
      <c r="G12" s="23">
        <f t="shared" si="0"/>
        <v>832.24543080939941</v>
      </c>
      <c r="H12" s="24">
        <f>'[1]auto data'!J16</f>
        <v>4.24</v>
      </c>
      <c r="I12" s="25">
        <v>0</v>
      </c>
      <c r="J12" s="21">
        <f>C153</f>
        <v>1.1325028312570782</v>
      </c>
      <c r="K12" s="23">
        <f>((H12+I12)/J12)*D12+349</f>
        <v>1097.7840000000001</v>
      </c>
      <c r="L12" s="26">
        <f t="shared" si="2"/>
        <v>0.31906281411764731</v>
      </c>
      <c r="M12" s="27">
        <f t="shared" si="3"/>
        <v>265.5385691906007</v>
      </c>
      <c r="N12" s="28">
        <v>5.0999999999999996</v>
      </c>
      <c r="O12" s="29">
        <f t="shared" ref="O12:O17" si="5">(N12+I12)*0.66</f>
        <v>3.3660000000000001</v>
      </c>
      <c r="P12" s="30">
        <f t="shared" si="4"/>
        <v>-1.7339999999999995</v>
      </c>
    </row>
    <row r="13" spans="1:16" x14ac:dyDescent="0.2">
      <c r="A13" s="31" t="s">
        <v>36</v>
      </c>
      <c r="B13" s="19" t="s">
        <v>37</v>
      </c>
      <c r="C13" s="20">
        <v>44368</v>
      </c>
      <c r="D13" s="19">
        <v>200</v>
      </c>
      <c r="E13" s="21">
        <v>1.1617</v>
      </c>
      <c r="F13" s="22">
        <v>8.18</v>
      </c>
      <c r="G13" s="23">
        <f t="shared" si="0"/>
        <v>1408.2809675475596</v>
      </c>
      <c r="H13" s="24">
        <f>H101</f>
        <v>7</v>
      </c>
      <c r="I13" s="25">
        <v>0</v>
      </c>
      <c r="J13" s="21">
        <f>C153</f>
        <v>1.1325028312570782</v>
      </c>
      <c r="K13" s="23">
        <f t="shared" si="1"/>
        <v>1236.2</v>
      </c>
      <c r="L13" s="32">
        <f t="shared" si="2"/>
        <v>-0.1221922127139364</v>
      </c>
      <c r="M13" s="27">
        <f t="shared" si="3"/>
        <v>-172.08096754755957</v>
      </c>
      <c r="N13" s="28">
        <v>9.7100000000000009</v>
      </c>
      <c r="O13" s="29">
        <f t="shared" si="5"/>
        <v>6.4086000000000007</v>
      </c>
      <c r="P13" s="30">
        <f t="shared" si="4"/>
        <v>-1.771399999999999</v>
      </c>
    </row>
    <row r="14" spans="1:16" x14ac:dyDescent="0.2">
      <c r="A14" s="31" t="s">
        <v>38</v>
      </c>
      <c r="B14" s="19" t="s">
        <v>39</v>
      </c>
      <c r="C14" s="20">
        <v>44388</v>
      </c>
      <c r="D14" s="19">
        <v>200</v>
      </c>
      <c r="E14" s="21">
        <v>1.18</v>
      </c>
      <c r="F14" s="22">
        <v>5.29</v>
      </c>
      <c r="G14" s="23">
        <f>(F14*D14)/E14</f>
        <v>896.61016949152543</v>
      </c>
      <c r="H14" s="24">
        <f>'[1]auto data'!J19</f>
        <v>4.05</v>
      </c>
      <c r="I14" s="25">
        <v>0</v>
      </c>
      <c r="J14" s="21">
        <f>C153</f>
        <v>1.1325028312570782</v>
      </c>
      <c r="K14" s="23">
        <f t="shared" si="1"/>
        <v>715.2299999999999</v>
      </c>
      <c r="L14" s="32">
        <f t="shared" si="2"/>
        <v>-0.20229546313799632</v>
      </c>
      <c r="M14" s="27">
        <f t="shared" si="3"/>
        <v>-181.38016949152552</v>
      </c>
      <c r="N14" s="28">
        <v>5.58</v>
      </c>
      <c r="O14" s="29">
        <f t="shared" si="5"/>
        <v>3.6828000000000003</v>
      </c>
      <c r="P14" s="30">
        <f t="shared" si="4"/>
        <v>-1.6071999999999997</v>
      </c>
    </row>
    <row r="15" spans="1:16" x14ac:dyDescent="0.2">
      <c r="A15" s="19" t="s">
        <v>40</v>
      </c>
      <c r="B15" s="19" t="s">
        <v>41</v>
      </c>
      <c r="C15" s="20">
        <v>44433</v>
      </c>
      <c r="D15" s="19">
        <v>300</v>
      </c>
      <c r="E15" s="21">
        <v>1.4830000000000001</v>
      </c>
      <c r="F15" s="22">
        <v>1.27</v>
      </c>
      <c r="G15" s="23">
        <f>(F15*D15)/E15</f>
        <v>256.91166554281858</v>
      </c>
      <c r="H15" s="33">
        <f>'[1]auto data'!J20</f>
        <v>1.51</v>
      </c>
      <c r="I15" s="25">
        <f>[1]Dividend!P10</f>
        <v>0.06</v>
      </c>
      <c r="J15" s="21">
        <f>C154</f>
        <v>1.4442518775274407</v>
      </c>
      <c r="K15" s="23">
        <f t="shared" si="1"/>
        <v>326.12040000000002</v>
      </c>
      <c r="L15" s="26">
        <f t="shared" si="2"/>
        <v>0.26938727874015767</v>
      </c>
      <c r="M15" s="27">
        <f t="shared" si="3"/>
        <v>69.208734457181436</v>
      </c>
      <c r="N15" s="28">
        <v>1.5</v>
      </c>
      <c r="O15" s="29">
        <f t="shared" si="5"/>
        <v>1.0296000000000001</v>
      </c>
      <c r="P15" s="30">
        <f t="shared" si="4"/>
        <v>-0.24039999999999995</v>
      </c>
    </row>
    <row r="16" spans="1:16" x14ac:dyDescent="0.2">
      <c r="A16" s="19" t="s">
        <v>42</v>
      </c>
      <c r="B16" s="19" t="s">
        <v>43</v>
      </c>
      <c r="C16" s="20">
        <v>44517</v>
      </c>
      <c r="D16" s="19">
        <v>40</v>
      </c>
      <c r="E16" s="21">
        <v>1.1301000000000001</v>
      </c>
      <c r="F16" s="22">
        <v>12.82</v>
      </c>
      <c r="G16" s="23">
        <f>(F16*D16)/E16</f>
        <v>453.76515352623653</v>
      </c>
      <c r="H16" s="33">
        <f>'[1]auto data'!J21</f>
        <v>16.52</v>
      </c>
      <c r="I16" s="25">
        <v>0</v>
      </c>
      <c r="J16" s="21">
        <f>C153</f>
        <v>1.1325028312570782</v>
      </c>
      <c r="K16" s="23">
        <f t="shared" si="1"/>
        <v>583.4864</v>
      </c>
      <c r="L16" s="26">
        <f t="shared" si="2"/>
        <v>0.28587749734789414</v>
      </c>
      <c r="M16" s="27">
        <f t="shared" si="3"/>
        <v>129.72124647376347</v>
      </c>
      <c r="N16" s="28">
        <v>14.34</v>
      </c>
      <c r="O16" s="29">
        <f t="shared" si="5"/>
        <v>9.4643999999999995</v>
      </c>
      <c r="P16" s="30">
        <f t="shared" si="4"/>
        <v>-3.3556000000000008</v>
      </c>
    </row>
    <row r="17" spans="1:16" x14ac:dyDescent="0.2">
      <c r="A17" s="19" t="s">
        <v>44</v>
      </c>
      <c r="B17" s="19" t="s">
        <v>45</v>
      </c>
      <c r="C17" s="20">
        <v>44589</v>
      </c>
      <c r="D17" s="19">
        <v>50</v>
      </c>
      <c r="E17" s="21">
        <v>1.1152</v>
      </c>
      <c r="F17" s="22">
        <v>9.56</v>
      </c>
      <c r="G17" s="23">
        <f>(F17*D17)/E17</f>
        <v>428.62266857962697</v>
      </c>
      <c r="H17" s="33">
        <f>'[1]auto data'!S6</f>
        <v>11.66</v>
      </c>
      <c r="I17" s="25">
        <v>0</v>
      </c>
      <c r="J17" s="21">
        <f>C153</f>
        <v>1.1325028312570782</v>
      </c>
      <c r="K17" s="23">
        <f t="shared" si="1"/>
        <v>514.78899999999999</v>
      </c>
      <c r="L17" s="26">
        <f t="shared" si="2"/>
        <v>0.20103073807531377</v>
      </c>
      <c r="M17" s="27">
        <f t="shared" si="3"/>
        <v>86.166331420373012</v>
      </c>
      <c r="N17" s="28">
        <v>9.56</v>
      </c>
      <c r="O17" s="29">
        <f t="shared" si="5"/>
        <v>6.3096000000000005</v>
      </c>
      <c r="P17" s="30">
        <f t="shared" si="4"/>
        <v>-3.2504</v>
      </c>
    </row>
    <row r="18" spans="1:16" x14ac:dyDescent="0.2">
      <c r="A18" s="2" t="s">
        <v>46</v>
      </c>
      <c r="B18" s="3"/>
      <c r="C18" s="3"/>
      <c r="D18" s="3"/>
      <c r="E18" s="3"/>
      <c r="F18" s="4"/>
      <c r="G18" s="5"/>
      <c r="H18" s="6"/>
      <c r="I18" s="6"/>
      <c r="J18" s="6"/>
      <c r="K18" s="7"/>
      <c r="L18" s="8" t="s">
        <v>1</v>
      </c>
      <c r="M18" s="9">
        <f>SUM(K20:K32)</f>
        <v>3340.4838000000004</v>
      </c>
      <c r="N18" s="10"/>
      <c r="O18" s="11"/>
      <c r="P18" s="12">
        <f>M18/P158</f>
        <v>5.9609361629267554E-2</v>
      </c>
    </row>
    <row r="19" spans="1:16" x14ac:dyDescent="0.2">
      <c r="A19" s="13" t="s">
        <v>2</v>
      </c>
      <c r="B19" s="13" t="s">
        <v>3</v>
      </c>
      <c r="C19" s="14" t="s">
        <v>4</v>
      </c>
      <c r="D19" s="13" t="s">
        <v>5</v>
      </c>
      <c r="E19" s="13" t="s">
        <v>6</v>
      </c>
      <c r="F19" s="13" t="s">
        <v>7</v>
      </c>
      <c r="G19" s="13" t="s">
        <v>8</v>
      </c>
      <c r="H19" s="15" t="s">
        <v>9</v>
      </c>
      <c r="I19" s="13" t="s">
        <v>10</v>
      </c>
      <c r="J19" s="13" t="s">
        <v>11</v>
      </c>
      <c r="K19" s="13" t="s">
        <v>12</v>
      </c>
      <c r="L19" s="13" t="s">
        <v>13</v>
      </c>
      <c r="M19" s="16" t="s">
        <v>14</v>
      </c>
      <c r="N19" s="17" t="s">
        <v>15</v>
      </c>
      <c r="O19" s="18" t="s">
        <v>16</v>
      </c>
      <c r="P19" s="16" t="s">
        <v>17</v>
      </c>
    </row>
    <row r="20" spans="1:16" x14ac:dyDescent="0.2">
      <c r="A20" s="31" t="s">
        <v>47</v>
      </c>
      <c r="B20" s="19" t="s">
        <v>48</v>
      </c>
      <c r="C20" s="20">
        <v>44054</v>
      </c>
      <c r="D20" s="19">
        <v>200</v>
      </c>
      <c r="E20" s="21">
        <v>1.58</v>
      </c>
      <c r="F20" s="22">
        <v>3.13</v>
      </c>
      <c r="G20" s="23">
        <f t="shared" si="0"/>
        <v>396.20253164556959</v>
      </c>
      <c r="H20" s="24">
        <f>'[1]auto data'!J23</f>
        <v>2.16</v>
      </c>
      <c r="I20" s="19">
        <v>0</v>
      </c>
      <c r="J20" s="21">
        <f>C154</f>
        <v>1.4442518775274407</v>
      </c>
      <c r="K20" s="23">
        <f t="shared" ref="K20:K25" si="6">((H20+I20)/J20)*D20</f>
        <v>299.11680000000007</v>
      </c>
      <c r="L20" s="32">
        <f t="shared" ref="L20:L25" si="7">(K20-G20)/G20</f>
        <v>-0.24504066453674098</v>
      </c>
      <c r="M20" s="27">
        <f t="shared" ref="M20:M40" si="8">K20-G20</f>
        <v>-97.085731645569524</v>
      </c>
      <c r="N20" s="28">
        <v>3.65</v>
      </c>
      <c r="O20" s="29">
        <f t="shared" ref="O20:O24" si="9">(N20+I20)*0.5</f>
        <v>1.825</v>
      </c>
      <c r="P20" s="30">
        <f t="shared" ref="P20:P25" si="10">O20-F20</f>
        <v>-1.3049999999999999</v>
      </c>
    </row>
    <row r="21" spans="1:16" x14ac:dyDescent="0.2">
      <c r="A21" s="19" t="s">
        <v>49</v>
      </c>
      <c r="B21" s="19" t="s">
        <v>50</v>
      </c>
      <c r="C21" s="20">
        <v>44054</v>
      </c>
      <c r="D21" s="19">
        <v>100</v>
      </c>
      <c r="E21" s="21">
        <v>1.58</v>
      </c>
      <c r="F21" s="22">
        <v>3.64</v>
      </c>
      <c r="G21" s="23">
        <f t="shared" si="0"/>
        <v>230.37974683544303</v>
      </c>
      <c r="H21" s="24">
        <f>'[1]auto data'!J26</f>
        <v>5.26</v>
      </c>
      <c r="I21" s="19">
        <v>0</v>
      </c>
      <c r="J21" s="21">
        <f>C154</f>
        <v>1.4442518775274407</v>
      </c>
      <c r="K21" s="23">
        <f t="shared" si="6"/>
        <v>364.20240000000001</v>
      </c>
      <c r="L21" s="26">
        <f t="shared" si="7"/>
        <v>0.58087854945054951</v>
      </c>
      <c r="M21" s="27">
        <f t="shared" si="8"/>
        <v>133.82265316455698</v>
      </c>
      <c r="N21" s="28">
        <v>4.42</v>
      </c>
      <c r="O21" s="29">
        <f t="shared" si="9"/>
        <v>2.21</v>
      </c>
      <c r="P21" s="30">
        <f t="shared" si="10"/>
        <v>-1.4300000000000002</v>
      </c>
    </row>
    <row r="22" spans="1:16" x14ac:dyDescent="0.2">
      <c r="A22" s="34" t="s">
        <v>51</v>
      </c>
      <c r="B22" s="19" t="s">
        <v>52</v>
      </c>
      <c r="C22" s="20">
        <v>44096</v>
      </c>
      <c r="D22" s="19">
        <v>500</v>
      </c>
      <c r="E22" s="21">
        <v>1.56</v>
      </c>
      <c r="F22" s="22">
        <v>0.6</v>
      </c>
      <c r="G22" s="23">
        <f t="shared" si="0"/>
        <v>192.30769230769229</v>
      </c>
      <c r="H22" s="24">
        <f>'[1]auto data'!J28</f>
        <v>0.46</v>
      </c>
      <c r="I22" s="19">
        <v>0</v>
      </c>
      <c r="J22" s="21">
        <f>C154</f>
        <v>1.4442518775274407</v>
      </c>
      <c r="K22" s="23">
        <f t="shared" si="6"/>
        <v>159.25200000000004</v>
      </c>
      <c r="L22" s="32">
        <f t="shared" si="7"/>
        <v>-0.17188959999999973</v>
      </c>
      <c r="M22" s="27">
        <f t="shared" si="8"/>
        <v>-33.055692307692254</v>
      </c>
      <c r="N22" s="28">
        <v>0.7</v>
      </c>
      <c r="O22" s="29">
        <f t="shared" si="9"/>
        <v>0.35</v>
      </c>
      <c r="P22" s="30">
        <f t="shared" si="10"/>
        <v>-0.25</v>
      </c>
    </row>
    <row r="23" spans="1:16" x14ac:dyDescent="0.2">
      <c r="A23" s="35" t="s">
        <v>53</v>
      </c>
      <c r="B23" s="19" t="s">
        <v>54</v>
      </c>
      <c r="C23" s="20">
        <v>44158</v>
      </c>
      <c r="D23" s="19">
        <v>250</v>
      </c>
      <c r="E23" s="21">
        <v>1.55</v>
      </c>
      <c r="F23" s="22">
        <v>1.32</v>
      </c>
      <c r="G23" s="23">
        <f t="shared" si="0"/>
        <v>212.90322580645162</v>
      </c>
      <c r="H23" s="24">
        <f>'[1]auto data'!J31</f>
        <v>0.41</v>
      </c>
      <c r="I23" s="19">
        <v>0</v>
      </c>
      <c r="J23" s="21">
        <f>C154</f>
        <v>1.4442518775274407</v>
      </c>
      <c r="K23" s="23">
        <f t="shared" si="6"/>
        <v>70.971000000000004</v>
      </c>
      <c r="L23" s="32">
        <f t="shared" si="7"/>
        <v>-0.66665136363636357</v>
      </c>
      <c r="M23" s="27">
        <f t="shared" si="8"/>
        <v>-141.93222580645161</v>
      </c>
      <c r="N23" s="28">
        <v>1.78</v>
      </c>
      <c r="O23" s="29">
        <f t="shared" si="9"/>
        <v>0.89</v>
      </c>
      <c r="P23" s="30">
        <f t="shared" si="10"/>
        <v>-0.43000000000000005</v>
      </c>
    </row>
    <row r="24" spans="1:16" x14ac:dyDescent="0.2">
      <c r="A24" s="19" t="s">
        <v>55</v>
      </c>
      <c r="B24" s="19" t="s">
        <v>56</v>
      </c>
      <c r="C24" s="20">
        <v>44159</v>
      </c>
      <c r="D24" s="19">
        <v>300</v>
      </c>
      <c r="E24" s="21">
        <v>1.55</v>
      </c>
      <c r="F24" s="22">
        <v>1.19</v>
      </c>
      <c r="G24" s="23">
        <f t="shared" si="0"/>
        <v>230.32258064516128</v>
      </c>
      <c r="H24" s="24">
        <f>'[1]auto data'!J32</f>
        <v>0.64</v>
      </c>
      <c r="I24" s="19">
        <v>0</v>
      </c>
      <c r="J24" s="21">
        <f>C154</f>
        <v>1.4442518775274407</v>
      </c>
      <c r="K24" s="23">
        <f t="shared" si="6"/>
        <v>132.9408</v>
      </c>
      <c r="L24" s="32">
        <f t="shared" si="7"/>
        <v>-0.42280605042016806</v>
      </c>
      <c r="M24" s="27">
        <f t="shared" si="8"/>
        <v>-97.381780645161285</v>
      </c>
      <c r="N24" s="28">
        <v>1.25</v>
      </c>
      <c r="O24" s="29">
        <f t="shared" si="9"/>
        <v>0.625</v>
      </c>
      <c r="P24" s="30">
        <f t="shared" si="10"/>
        <v>-0.56499999999999995</v>
      </c>
    </row>
    <row r="25" spans="1:16" x14ac:dyDescent="0.2">
      <c r="A25" s="31" t="s">
        <v>57</v>
      </c>
      <c r="B25" s="19" t="s">
        <v>58</v>
      </c>
      <c r="C25" s="20">
        <v>44203</v>
      </c>
      <c r="D25" s="19">
        <v>600</v>
      </c>
      <c r="E25" s="21">
        <v>1.52</v>
      </c>
      <c r="F25" s="22">
        <v>0.94</v>
      </c>
      <c r="G25" s="23">
        <f t="shared" si="0"/>
        <v>371.05263157894734</v>
      </c>
      <c r="H25" s="24">
        <f>'[1]auto data'!J35</f>
        <v>0.69</v>
      </c>
      <c r="I25" s="19">
        <v>0</v>
      </c>
      <c r="J25" s="21">
        <f>C154</f>
        <v>1.4442518775274407</v>
      </c>
      <c r="K25" s="23">
        <f t="shared" si="6"/>
        <v>286.65359999999998</v>
      </c>
      <c r="L25" s="32">
        <f t="shared" si="7"/>
        <v>-0.22745838297872339</v>
      </c>
      <c r="M25" s="27">
        <f>K25-G25</f>
        <v>-84.399031578947358</v>
      </c>
      <c r="N25" s="28">
        <v>0.94</v>
      </c>
      <c r="O25" s="29">
        <f>(N25+I25)*0.5</f>
        <v>0.47</v>
      </c>
      <c r="P25" s="30">
        <f t="shared" si="10"/>
        <v>-0.47</v>
      </c>
    </row>
    <row r="26" spans="1:16" x14ac:dyDescent="0.2">
      <c r="A26" s="35" t="s">
        <v>59</v>
      </c>
      <c r="B26" s="19" t="s">
        <v>60</v>
      </c>
      <c r="C26" s="20">
        <v>43881</v>
      </c>
      <c r="D26" s="19">
        <v>6400</v>
      </c>
      <c r="E26" s="21">
        <v>1.43</v>
      </c>
      <c r="F26" s="36">
        <v>4.4999999999999998E-2</v>
      </c>
      <c r="G26" s="23">
        <f t="shared" si="0"/>
        <v>201.39860139860141</v>
      </c>
      <c r="H26" s="37">
        <f>'[1]auto data'!J5</f>
        <v>0.03</v>
      </c>
      <c r="I26" s="19">
        <v>0</v>
      </c>
      <c r="J26" s="21">
        <f>C154</f>
        <v>1.4442518775274407</v>
      </c>
      <c r="K26" s="23">
        <f>((H26+I26)/J26)*D26</f>
        <v>132.94080000000002</v>
      </c>
      <c r="L26" s="32">
        <f>(K26-G26)/G26</f>
        <v>-0.33991199999999994</v>
      </c>
      <c r="M26" s="27">
        <f t="shared" ref="M26:M33" si="11">K26-G26</f>
        <v>-68.45780139860139</v>
      </c>
      <c r="N26" s="28">
        <v>0.05</v>
      </c>
      <c r="O26" s="29">
        <f>(N26+I26)*0.33</f>
        <v>1.6500000000000001E-2</v>
      </c>
      <c r="P26" s="30">
        <f>O26-F26</f>
        <v>-2.8499999999999998E-2</v>
      </c>
    </row>
    <row r="27" spans="1:16" x14ac:dyDescent="0.2">
      <c r="A27" s="19" t="s">
        <v>61</v>
      </c>
      <c r="B27" s="19" t="s">
        <v>62</v>
      </c>
      <c r="C27" s="20">
        <v>43837</v>
      </c>
      <c r="D27" s="19">
        <v>720</v>
      </c>
      <c r="E27" s="21">
        <v>1.45</v>
      </c>
      <c r="F27" s="22">
        <v>0.81</v>
      </c>
      <c r="G27" s="23">
        <f t="shared" si="0"/>
        <v>402.20689655172418</v>
      </c>
      <c r="H27" s="24">
        <f>'[1]auto data'!J3</f>
        <v>1.0900000000000001</v>
      </c>
      <c r="I27" s="19">
        <v>0</v>
      </c>
      <c r="J27" s="21">
        <f>C154</f>
        <v>1.4442518775274407</v>
      </c>
      <c r="K27" s="23">
        <f>((H27+I27)/J27)*D27</f>
        <v>543.39552000000015</v>
      </c>
      <c r="L27" s="26">
        <f>(K27-G27)/G27</f>
        <v>0.35103481481481502</v>
      </c>
      <c r="M27" s="27">
        <f t="shared" si="11"/>
        <v>141.18862344827596</v>
      </c>
      <c r="N27" s="28">
        <v>1.55</v>
      </c>
      <c r="O27" s="29">
        <f>(N27+I27)*0.33</f>
        <v>0.51150000000000007</v>
      </c>
      <c r="P27" s="30">
        <f>O27-F27</f>
        <v>-0.29849999999999999</v>
      </c>
    </row>
    <row r="28" spans="1:16" x14ac:dyDescent="0.2">
      <c r="A28" s="34" t="s">
        <v>63</v>
      </c>
      <c r="B28" s="19" t="s">
        <v>64</v>
      </c>
      <c r="C28" s="20">
        <v>44246</v>
      </c>
      <c r="D28" s="19">
        <v>1200</v>
      </c>
      <c r="E28" s="21">
        <v>1.51</v>
      </c>
      <c r="F28" s="22">
        <v>0.63</v>
      </c>
      <c r="G28" s="23">
        <f t="shared" si="0"/>
        <v>500.66225165562912</v>
      </c>
      <c r="H28" s="24">
        <f>'[1]auto data'!J12</f>
        <v>0.41249999999999998</v>
      </c>
      <c r="I28" s="38">
        <v>0</v>
      </c>
      <c r="J28" s="21">
        <f>C154</f>
        <v>1.4442518775274407</v>
      </c>
      <c r="K28" s="23">
        <f t="shared" ref="K28:K30" si="12">((H28+I28)/J28)*D28</f>
        <v>342.738</v>
      </c>
      <c r="L28" s="32">
        <f t="shared" ref="L28" si="13">(K28-G28)/G28</f>
        <v>-0.31543071428571429</v>
      </c>
      <c r="M28" s="27">
        <f t="shared" si="11"/>
        <v>-157.92425165562912</v>
      </c>
      <c r="N28" s="28">
        <v>0.51</v>
      </c>
      <c r="O28" s="29">
        <f>(N28+I28)*0.66</f>
        <v>0.33660000000000001</v>
      </c>
      <c r="P28" s="30">
        <f t="shared" ref="P28:P30" si="14">O28-F28</f>
        <v>-0.29339999999999999</v>
      </c>
    </row>
    <row r="29" spans="1:16" x14ac:dyDescent="0.2">
      <c r="A29" s="31" t="s">
        <v>65</v>
      </c>
      <c r="B29" s="19" t="s">
        <v>66</v>
      </c>
      <c r="C29" s="20">
        <v>44376</v>
      </c>
      <c r="D29" s="19">
        <v>2000</v>
      </c>
      <c r="E29" s="21">
        <v>1.46</v>
      </c>
      <c r="F29" s="22">
        <v>0.375</v>
      </c>
      <c r="G29" s="23">
        <f t="shared" si="0"/>
        <v>513.69863013698637</v>
      </c>
      <c r="H29" s="33">
        <f>'[1]auto data'!J17</f>
        <v>0.28499999999999998</v>
      </c>
      <c r="I29" s="38">
        <v>0</v>
      </c>
      <c r="J29" s="21">
        <f>C154</f>
        <v>1.4442518775274407</v>
      </c>
      <c r="K29" s="23">
        <f t="shared" si="12"/>
        <v>394.66800000000001</v>
      </c>
      <c r="L29" s="32">
        <f>(K29-G29)/G29</f>
        <v>-0.23171296000000008</v>
      </c>
      <c r="M29" s="27">
        <f t="shared" si="11"/>
        <v>-119.03063013698636</v>
      </c>
      <c r="N29" s="28">
        <v>0.44</v>
      </c>
      <c r="O29" s="29">
        <f>(N29+I29)*0.5</f>
        <v>0.22</v>
      </c>
      <c r="P29" s="30">
        <f t="shared" si="14"/>
        <v>-0.155</v>
      </c>
    </row>
    <row r="30" spans="1:16" x14ac:dyDescent="0.2">
      <c r="A30" s="19" t="s">
        <v>67</v>
      </c>
      <c r="B30" s="19" t="s">
        <v>68</v>
      </c>
      <c r="C30" s="20">
        <v>44396</v>
      </c>
      <c r="D30" s="19">
        <v>66</v>
      </c>
      <c r="E30" s="21">
        <v>1.5044</v>
      </c>
      <c r="F30" s="22">
        <v>0.72899999999999998</v>
      </c>
      <c r="G30" s="23">
        <v>0</v>
      </c>
      <c r="H30" s="33">
        <f>'[1]auto data'!J18</f>
        <v>0.7</v>
      </c>
      <c r="I30" s="38">
        <v>0</v>
      </c>
      <c r="J30" s="21">
        <f>C154</f>
        <v>1.4442518775274407</v>
      </c>
      <c r="K30" s="23">
        <f t="shared" si="12"/>
        <v>31.988880000000002</v>
      </c>
      <c r="L30" s="39" t="s">
        <v>69</v>
      </c>
      <c r="M30" s="27">
        <f t="shared" si="11"/>
        <v>31.988880000000002</v>
      </c>
      <c r="N30" s="28">
        <v>0.8</v>
      </c>
      <c r="O30" s="29">
        <f>(N30+I30)*0.5</f>
        <v>0.4</v>
      </c>
      <c r="P30" s="30">
        <f t="shared" si="14"/>
        <v>-0.32899999999999996</v>
      </c>
    </row>
    <row r="31" spans="1:16" x14ac:dyDescent="0.2">
      <c r="A31" s="19" t="s">
        <v>70</v>
      </c>
      <c r="B31" s="19" t="s">
        <v>71</v>
      </c>
      <c r="C31" s="20">
        <v>44438</v>
      </c>
      <c r="D31" s="19">
        <v>5000</v>
      </c>
      <c r="E31" s="21">
        <v>1.4879</v>
      </c>
      <c r="F31" s="36">
        <v>6.5000000000000002E-2</v>
      </c>
      <c r="G31" s="23">
        <f>(F31*D31)/E31</f>
        <v>218.4286578399086</v>
      </c>
      <c r="H31" s="40">
        <f>'[1]auto data'!J37</f>
        <v>0.03</v>
      </c>
      <c r="I31" s="38">
        <v>0</v>
      </c>
      <c r="J31" s="21">
        <f>C154</f>
        <v>1.4442518775274407</v>
      </c>
      <c r="K31" s="23">
        <f>((H31+I31)/J31)*D31</f>
        <v>103.86000000000001</v>
      </c>
      <c r="L31" s="32">
        <f>(K31-G31)/G31</f>
        <v>-0.52451294153846151</v>
      </c>
      <c r="M31" s="27">
        <f t="shared" si="11"/>
        <v>-114.56865783990858</v>
      </c>
      <c r="N31" s="28">
        <v>6.5000000000000002E-2</v>
      </c>
      <c r="O31" s="29">
        <f>(N31+I31)*0.5</f>
        <v>3.2500000000000001E-2</v>
      </c>
      <c r="P31" s="30">
        <f>O31-F31</f>
        <v>-3.2500000000000001E-2</v>
      </c>
    </row>
    <row r="32" spans="1:16" x14ac:dyDescent="0.2">
      <c r="A32" s="31" t="s">
        <v>72</v>
      </c>
      <c r="B32" s="19" t="s">
        <v>73</v>
      </c>
      <c r="C32" s="20">
        <v>44498</v>
      </c>
      <c r="D32" s="19">
        <v>600</v>
      </c>
      <c r="E32" s="21">
        <v>1.43</v>
      </c>
      <c r="F32" s="36">
        <v>1.34</v>
      </c>
      <c r="G32" s="23">
        <f>(F32*D32)/E32</f>
        <v>562.23776223776224</v>
      </c>
      <c r="H32" s="40">
        <f>'[1]auto data'!J39</f>
        <v>1.1499999999999999</v>
      </c>
      <c r="I32" s="38">
        <v>0</v>
      </c>
      <c r="J32" s="21">
        <f>C154</f>
        <v>1.4442518775274407</v>
      </c>
      <c r="K32" s="23">
        <f>((H32+I32)/J32)*D32</f>
        <v>477.75599999999997</v>
      </c>
      <c r="L32" s="32">
        <f>(K32-G32)/G32</f>
        <v>-0.15025985074626871</v>
      </c>
      <c r="M32" s="27">
        <f t="shared" si="11"/>
        <v>-84.481762237762268</v>
      </c>
      <c r="N32" s="28">
        <v>1.5</v>
      </c>
      <c r="O32" s="29">
        <f>(N32+I32)*0.5</f>
        <v>0.75</v>
      </c>
      <c r="P32" s="30">
        <f>O32-F32</f>
        <v>-0.59000000000000008</v>
      </c>
    </row>
    <row r="33" spans="1:16" x14ac:dyDescent="0.2">
      <c r="A33" s="19" t="s">
        <v>74</v>
      </c>
      <c r="B33" s="19" t="s">
        <v>75</v>
      </c>
      <c r="C33" s="20">
        <v>44517</v>
      </c>
      <c r="D33" s="19">
        <v>1000</v>
      </c>
      <c r="E33" s="21">
        <v>1.4269000000000001</v>
      </c>
      <c r="F33" s="36">
        <v>0.27500000000000002</v>
      </c>
      <c r="G33" s="23">
        <f>(F33*D33)/E33</f>
        <v>192.72548882192163</v>
      </c>
      <c r="H33" s="40">
        <f>'[1]auto data'!J43</f>
        <v>0.255</v>
      </c>
      <c r="I33" s="38">
        <v>0</v>
      </c>
      <c r="J33" s="21">
        <f>C154</f>
        <v>1.4442518775274407</v>
      </c>
      <c r="K33" s="23">
        <f>((H33+I33)/J33)*D33</f>
        <v>176.56200000000001</v>
      </c>
      <c r="L33" s="32">
        <f>(K33-G33)/G33</f>
        <v>-8.3867935272727123E-2</v>
      </c>
      <c r="M33" s="27">
        <f t="shared" si="11"/>
        <v>-16.163488821921618</v>
      </c>
      <c r="N33" s="28">
        <v>0.27500000000000002</v>
      </c>
      <c r="O33" s="29">
        <f>(N33+I33)*0.5</f>
        <v>0.13750000000000001</v>
      </c>
      <c r="P33" s="30">
        <f>O33-F33</f>
        <v>-0.13750000000000001</v>
      </c>
    </row>
    <row r="34" spans="1:16" x14ac:dyDescent="0.2">
      <c r="A34" s="2" t="s">
        <v>76</v>
      </c>
      <c r="B34" s="3"/>
      <c r="C34" s="3"/>
      <c r="D34" s="3"/>
      <c r="E34" s="3"/>
      <c r="F34" s="4"/>
      <c r="G34" s="5"/>
      <c r="H34" s="6"/>
      <c r="I34" s="6"/>
      <c r="J34" s="6"/>
      <c r="K34" s="7"/>
      <c r="L34" s="8" t="s">
        <v>1</v>
      </c>
      <c r="M34" s="9">
        <f>SUM(K36:K40)</f>
        <v>14493.2623</v>
      </c>
      <c r="N34" s="10"/>
      <c r="O34" s="11"/>
      <c r="P34" s="12">
        <f>M34/P158</f>
        <v>0.25862544629868583</v>
      </c>
    </row>
    <row r="35" spans="1:16" x14ac:dyDescent="0.2">
      <c r="A35" s="13" t="s">
        <v>2</v>
      </c>
      <c r="B35" s="13" t="s">
        <v>3</v>
      </c>
      <c r="C35" s="14" t="s">
        <v>4</v>
      </c>
      <c r="D35" s="13" t="s">
        <v>5</v>
      </c>
      <c r="E35" s="13" t="s">
        <v>6</v>
      </c>
      <c r="F35" s="13" t="s">
        <v>7</v>
      </c>
      <c r="G35" s="13" t="s">
        <v>8</v>
      </c>
      <c r="H35" s="15" t="s">
        <v>9</v>
      </c>
      <c r="I35" s="13" t="s">
        <v>10</v>
      </c>
      <c r="J35" s="13" t="s">
        <v>11</v>
      </c>
      <c r="K35" s="13" t="s">
        <v>12</v>
      </c>
      <c r="L35" s="13" t="s">
        <v>13</v>
      </c>
      <c r="M35" s="16" t="s">
        <v>14</v>
      </c>
      <c r="N35" s="17" t="s">
        <v>15</v>
      </c>
      <c r="O35" s="18" t="s">
        <v>16</v>
      </c>
      <c r="P35" s="16" t="s">
        <v>17</v>
      </c>
    </row>
    <row r="36" spans="1:16" x14ac:dyDescent="0.2">
      <c r="A36" s="19" t="s">
        <v>77</v>
      </c>
      <c r="B36" s="19" t="s">
        <v>78</v>
      </c>
      <c r="C36" s="20">
        <v>43906</v>
      </c>
      <c r="D36" s="19">
        <v>900</v>
      </c>
      <c r="E36" s="21">
        <v>1.1200000000000001</v>
      </c>
      <c r="F36" s="22">
        <v>2.5</v>
      </c>
      <c r="G36" s="23">
        <f t="shared" si="0"/>
        <v>2008.9285714285713</v>
      </c>
      <c r="H36" s="41">
        <f>'[1]auto data'!G3</f>
        <v>3.8</v>
      </c>
      <c r="I36" s="25">
        <f>[1]Dividend!P4</f>
        <v>0.75</v>
      </c>
      <c r="J36" s="21">
        <f>C153</f>
        <v>1.1325028312570782</v>
      </c>
      <c r="K36" s="23">
        <f>((H36+I36)/J36)*D36</f>
        <v>3615.8849999999998</v>
      </c>
      <c r="L36" s="26">
        <f>(K36-G36)/G36</f>
        <v>0.79990719999999993</v>
      </c>
      <c r="M36" s="27">
        <f t="shared" si="8"/>
        <v>1606.9564285714284</v>
      </c>
      <c r="N36" s="28">
        <v>4.25</v>
      </c>
      <c r="O36" s="29">
        <f>(N36+I36)*0.75</f>
        <v>3.75</v>
      </c>
      <c r="P36" s="42">
        <f>O36-F36</f>
        <v>1.25</v>
      </c>
    </row>
    <row r="37" spans="1:16" x14ac:dyDescent="0.2">
      <c r="A37" s="19" t="s">
        <v>79</v>
      </c>
      <c r="B37" s="19" t="s">
        <v>80</v>
      </c>
      <c r="C37" s="20">
        <v>44103</v>
      </c>
      <c r="D37" s="19">
        <v>750</v>
      </c>
      <c r="E37" s="21">
        <v>1.175</v>
      </c>
      <c r="F37" s="22">
        <v>5.03</v>
      </c>
      <c r="G37" s="23">
        <f t="shared" si="0"/>
        <v>3210.6382978723404</v>
      </c>
      <c r="H37" s="41">
        <f>'[1]auto data'!G4</f>
        <v>5.39</v>
      </c>
      <c r="I37" s="25">
        <f>[1]Dividend!P5</f>
        <v>0.54</v>
      </c>
      <c r="J37" s="21">
        <f>C153</f>
        <v>1.1325028312570782</v>
      </c>
      <c r="K37" s="23">
        <f>((H37+I37)/J37)*D37</f>
        <v>3927.1424999999999</v>
      </c>
      <c r="L37" s="26">
        <f>(K37-G37)/G37</f>
        <v>0.22316565606361827</v>
      </c>
      <c r="M37" s="27">
        <f t="shared" si="8"/>
        <v>716.50420212765948</v>
      </c>
      <c r="N37" s="43">
        <v>5.95</v>
      </c>
      <c r="O37" s="29">
        <f>(N37+I37)*0.75</f>
        <v>4.8674999999999997</v>
      </c>
      <c r="P37" s="30">
        <f>O37-F37</f>
        <v>-0.16250000000000053</v>
      </c>
    </row>
    <row r="38" spans="1:16" x14ac:dyDescent="0.2">
      <c r="A38" s="19" t="s">
        <v>81</v>
      </c>
      <c r="B38" s="19" t="s">
        <v>82</v>
      </c>
      <c r="C38" s="20">
        <v>44137</v>
      </c>
      <c r="D38" s="19">
        <v>30</v>
      </c>
      <c r="E38" s="21">
        <v>1.1639999999999999</v>
      </c>
      <c r="F38" s="22">
        <v>36.47</v>
      </c>
      <c r="G38" s="23">
        <f t="shared" si="0"/>
        <v>939.94845360824741</v>
      </c>
      <c r="H38" s="41">
        <f>'[1]auto data'!G5</f>
        <v>51.74</v>
      </c>
      <c r="I38" s="25">
        <f>[1]Dividend!P6</f>
        <v>4.38</v>
      </c>
      <c r="J38" s="21">
        <f>C153</f>
        <v>1.1325028312570782</v>
      </c>
      <c r="K38" s="23">
        <f>((H38+I38)/J38)*D38</f>
        <v>1486.6188000000002</v>
      </c>
      <c r="L38" s="26">
        <f>(K38-G38)/G38</f>
        <v>0.58159609103372656</v>
      </c>
      <c r="M38" s="27">
        <f t="shared" si="8"/>
        <v>546.67034639175279</v>
      </c>
      <c r="N38" s="28">
        <v>52.5</v>
      </c>
      <c r="O38" s="29">
        <f>(N38+I38)*0.75</f>
        <v>42.660000000000004</v>
      </c>
      <c r="P38" s="42">
        <f>O38-F38</f>
        <v>6.1900000000000048</v>
      </c>
    </row>
    <row r="39" spans="1:16" x14ac:dyDescent="0.2">
      <c r="A39" s="19" t="s">
        <v>83</v>
      </c>
      <c r="B39" s="19" t="s">
        <v>84</v>
      </c>
      <c r="C39" s="20">
        <v>44165</v>
      </c>
      <c r="D39" s="19">
        <v>100</v>
      </c>
      <c r="E39" s="21">
        <v>1.1944999999999999</v>
      </c>
      <c r="F39" s="22">
        <v>33.25</v>
      </c>
      <c r="G39" s="23">
        <f t="shared" si="0"/>
        <v>2783.5914608622857</v>
      </c>
      <c r="H39" s="41">
        <f>'[1]auto data'!G6</f>
        <v>31.74</v>
      </c>
      <c r="I39" s="25">
        <f>[1]Dividend!P7</f>
        <v>2.78</v>
      </c>
      <c r="J39" s="21">
        <f>C153</f>
        <v>1.1325028312570782</v>
      </c>
      <c r="K39" s="23">
        <f>((H39+I39)/J39)*D39</f>
        <v>3048.1159999999995</v>
      </c>
      <c r="L39" s="26">
        <f>(K39-G39)/G39</f>
        <v>9.5029943458646376E-2</v>
      </c>
      <c r="M39" s="27">
        <f t="shared" si="8"/>
        <v>264.52453913771387</v>
      </c>
      <c r="N39" s="43">
        <v>36.119999999999997</v>
      </c>
      <c r="O39" s="29">
        <f>(N39+I39)*0.75</f>
        <v>29.174999999999997</v>
      </c>
      <c r="P39" s="30">
        <f>O39-F39</f>
        <v>-4.0750000000000028</v>
      </c>
    </row>
    <row r="40" spans="1:16" x14ac:dyDescent="0.2">
      <c r="A40" s="19" t="s">
        <v>85</v>
      </c>
      <c r="B40" s="19" t="s">
        <v>86</v>
      </c>
      <c r="C40" s="20">
        <v>44403</v>
      </c>
      <c r="D40" s="19">
        <v>100</v>
      </c>
      <c r="E40" s="21">
        <v>1</v>
      </c>
      <c r="F40" s="22">
        <v>16.3</v>
      </c>
      <c r="G40" s="23">
        <f t="shared" si="0"/>
        <v>1630</v>
      </c>
      <c r="H40" s="41">
        <f>'[1]auto data'!G7</f>
        <v>23.434999999999999</v>
      </c>
      <c r="I40" s="25">
        <f>[1]Dividend!P9</f>
        <v>0.72</v>
      </c>
      <c r="J40" s="21">
        <v>1</v>
      </c>
      <c r="K40" s="23">
        <f>((H40+I40)/J40)*D40</f>
        <v>2415.4999999999995</v>
      </c>
      <c r="L40" s="26">
        <f>(K40-G40)/G40</f>
        <v>0.48190184049079726</v>
      </c>
      <c r="M40" s="27">
        <f t="shared" si="8"/>
        <v>785.49999999999955</v>
      </c>
      <c r="N40" s="43">
        <v>20.149999999999999</v>
      </c>
      <c r="O40" s="29">
        <f>(N40+I40)*0.75</f>
        <v>15.652499999999998</v>
      </c>
      <c r="P40" s="30">
        <f>O40-F40</f>
        <v>-0.64750000000000263</v>
      </c>
    </row>
    <row r="41" spans="1:16" x14ac:dyDescent="0.2">
      <c r="A41" s="2" t="s">
        <v>87</v>
      </c>
      <c r="B41" s="3"/>
      <c r="C41" s="3"/>
      <c r="D41" s="3"/>
      <c r="E41" s="3"/>
      <c r="F41" s="4"/>
      <c r="G41" s="44"/>
      <c r="H41" s="45"/>
      <c r="I41" s="45"/>
      <c r="J41" s="45"/>
      <c r="K41" s="46"/>
      <c r="L41" s="8" t="s">
        <v>1</v>
      </c>
      <c r="M41" s="9">
        <f>SUM(K43:K50)</f>
        <v>2684.0257200000005</v>
      </c>
      <c r="N41" s="10"/>
      <c r="O41" s="11"/>
      <c r="P41" s="12">
        <f>M41/P158</f>
        <v>4.7895176071722077E-2</v>
      </c>
    </row>
    <row r="42" spans="1:16" x14ac:dyDescent="0.2">
      <c r="A42" s="13" t="s">
        <v>2</v>
      </c>
      <c r="B42" s="13" t="s">
        <v>3</v>
      </c>
      <c r="C42" s="14" t="s">
        <v>4</v>
      </c>
      <c r="D42" s="13" t="s">
        <v>5</v>
      </c>
      <c r="E42" s="13" t="s">
        <v>6</v>
      </c>
      <c r="F42" s="13" t="s">
        <v>7</v>
      </c>
      <c r="G42" s="13" t="s">
        <v>8</v>
      </c>
      <c r="H42" s="15" t="s">
        <v>9</v>
      </c>
      <c r="I42" s="13" t="s">
        <v>10</v>
      </c>
      <c r="J42" s="13" t="s">
        <v>11</v>
      </c>
      <c r="K42" s="13" t="s">
        <v>12</v>
      </c>
      <c r="L42" s="13" t="s">
        <v>13</v>
      </c>
      <c r="M42" s="16" t="s">
        <v>14</v>
      </c>
      <c r="N42" s="17" t="s">
        <v>15</v>
      </c>
      <c r="O42" s="18" t="s">
        <v>16</v>
      </c>
      <c r="P42" s="16" t="s">
        <v>17</v>
      </c>
    </row>
    <row r="43" spans="1:16" x14ac:dyDescent="0.2">
      <c r="A43" s="19" t="s">
        <v>88</v>
      </c>
      <c r="B43" s="19" t="s">
        <v>89</v>
      </c>
      <c r="C43" s="20">
        <v>44285</v>
      </c>
      <c r="D43" s="19">
        <v>300</v>
      </c>
      <c r="E43" s="21">
        <v>1.48</v>
      </c>
      <c r="F43" s="22">
        <v>1.115</v>
      </c>
      <c r="G43" s="23">
        <f t="shared" si="0"/>
        <v>226.01351351351352</v>
      </c>
      <c r="H43" s="47">
        <f>'[1]auto data'!M8</f>
        <v>1.29</v>
      </c>
      <c r="I43" s="19">
        <v>0</v>
      </c>
      <c r="J43" s="21">
        <f>C154</f>
        <v>1.4442518775274407</v>
      </c>
      <c r="K43" s="23">
        <f t="shared" ref="K43:K57" si="15">((H43+I43)/J43)*D43</f>
        <v>267.95880000000005</v>
      </c>
      <c r="L43" s="26">
        <f t="shared" ref="L43:L57" si="16">(K43-G43)/G43</f>
        <v>0.18558751569506748</v>
      </c>
      <c r="M43" s="27">
        <f t="shared" ref="M43:M57" si="17">K43-G43</f>
        <v>41.945286486486538</v>
      </c>
      <c r="N43" s="28">
        <v>2</v>
      </c>
      <c r="O43" s="29">
        <f t="shared" ref="O43:O57" si="18">(N43+I43)*0.5</f>
        <v>1</v>
      </c>
      <c r="P43" s="30">
        <f t="shared" ref="P43:P57" si="19">O43-F43</f>
        <v>-0.11499999999999999</v>
      </c>
    </row>
    <row r="44" spans="1:16" x14ac:dyDescent="0.2">
      <c r="A44" s="31" t="s">
        <v>90</v>
      </c>
      <c r="B44" s="19" t="s">
        <v>91</v>
      </c>
      <c r="C44" s="20">
        <v>44354</v>
      </c>
      <c r="D44" s="19">
        <v>2000</v>
      </c>
      <c r="E44" s="21">
        <v>1.4515</v>
      </c>
      <c r="F44" s="22">
        <v>0.38750000000000001</v>
      </c>
      <c r="G44" s="23">
        <f t="shared" si="0"/>
        <v>533.93041681019633</v>
      </c>
      <c r="H44" s="47">
        <f>'[1]auto data'!M13</f>
        <v>0.32</v>
      </c>
      <c r="I44" s="19">
        <v>0</v>
      </c>
      <c r="J44" s="21">
        <f>C154</f>
        <v>1.4442518775274407</v>
      </c>
      <c r="K44" s="23">
        <f t="shared" si="15"/>
        <v>443.13600000000002</v>
      </c>
      <c r="L44" s="32">
        <f t="shared" si="16"/>
        <v>-0.17004915612903218</v>
      </c>
      <c r="M44" s="27">
        <f t="shared" si="17"/>
        <v>-90.79441681019631</v>
      </c>
      <c r="N44" s="28">
        <v>0.52</v>
      </c>
      <c r="O44" s="29">
        <f t="shared" si="18"/>
        <v>0.26</v>
      </c>
      <c r="P44" s="30">
        <f t="shared" si="19"/>
        <v>-0.1275</v>
      </c>
    </row>
    <row r="45" spans="1:16" x14ac:dyDescent="0.2">
      <c r="A45" s="31" t="s">
        <v>92</v>
      </c>
      <c r="B45" s="19" t="s">
        <v>93</v>
      </c>
      <c r="C45" s="20">
        <v>44459</v>
      </c>
      <c r="D45" s="19">
        <v>800</v>
      </c>
      <c r="E45" s="21">
        <v>1.4643999999999999</v>
      </c>
      <c r="F45" s="22">
        <v>0.82</v>
      </c>
      <c r="G45" s="23">
        <f t="shared" si="0"/>
        <v>447.96503687517077</v>
      </c>
      <c r="H45" s="47">
        <f>'[1]auto data'!M9</f>
        <v>0.75</v>
      </c>
      <c r="I45" s="19">
        <v>0</v>
      </c>
      <c r="J45" s="21">
        <f>C154</f>
        <v>1.4442518775274407</v>
      </c>
      <c r="K45" s="23">
        <f t="shared" si="15"/>
        <v>415.44000000000005</v>
      </c>
      <c r="L45" s="48">
        <f t="shared" si="16"/>
        <v>-7.2606195121951198E-2</v>
      </c>
      <c r="M45" s="27">
        <f t="shared" si="17"/>
        <v>-32.525036875170713</v>
      </c>
      <c r="N45" s="28">
        <v>1.1499999999999999</v>
      </c>
      <c r="O45" s="29">
        <f t="shared" si="18"/>
        <v>0.57499999999999996</v>
      </c>
      <c r="P45" s="30">
        <f t="shared" si="19"/>
        <v>-0.245</v>
      </c>
    </row>
    <row r="46" spans="1:16" x14ac:dyDescent="0.2">
      <c r="A46" s="19" t="s">
        <v>94</v>
      </c>
      <c r="B46" s="19" t="s">
        <v>95</v>
      </c>
      <c r="C46" s="20">
        <v>44466</v>
      </c>
      <c r="D46" s="19">
        <v>800</v>
      </c>
      <c r="E46" s="21">
        <v>1.4795</v>
      </c>
      <c r="F46" s="22">
        <v>0.48</v>
      </c>
      <c r="G46" s="23">
        <f t="shared" si="0"/>
        <v>259.5471443055086</v>
      </c>
      <c r="H46" s="47">
        <f>'[1]auto data'!M11</f>
        <v>0.49</v>
      </c>
      <c r="I46" s="19">
        <v>0</v>
      </c>
      <c r="J46" s="21">
        <f>C154</f>
        <v>1.4442518775274407</v>
      </c>
      <c r="K46" s="23">
        <f t="shared" si="15"/>
        <v>271.42080000000004</v>
      </c>
      <c r="L46" s="26">
        <f t="shared" si="16"/>
        <v>4.5747587500000256E-2</v>
      </c>
      <c r="M46" s="27">
        <f t="shared" si="17"/>
        <v>11.873655694491447</v>
      </c>
      <c r="N46" s="28">
        <v>0.48</v>
      </c>
      <c r="O46" s="29">
        <f t="shared" si="18"/>
        <v>0.24</v>
      </c>
      <c r="P46" s="30">
        <f t="shared" si="19"/>
        <v>-0.24</v>
      </c>
    </row>
    <row r="47" spans="1:16" x14ac:dyDescent="0.2">
      <c r="A47" s="34" t="s">
        <v>96</v>
      </c>
      <c r="B47" s="19" t="s">
        <v>97</v>
      </c>
      <c r="C47" s="20">
        <v>44469</v>
      </c>
      <c r="D47" s="19">
        <v>540</v>
      </c>
      <c r="E47" s="21">
        <v>1.6037999999999999</v>
      </c>
      <c r="F47" s="22">
        <v>0.95</v>
      </c>
      <c r="G47" s="23">
        <f t="shared" si="0"/>
        <v>319.86531986531986</v>
      </c>
      <c r="H47" s="47">
        <f>'[1]auto data'!M14</f>
        <v>0.78</v>
      </c>
      <c r="I47" s="19">
        <v>0</v>
      </c>
      <c r="J47" s="21">
        <f>C155</f>
        <v>1.5787811809283234</v>
      </c>
      <c r="K47" s="23">
        <f t="shared" si="15"/>
        <v>266.78807999999998</v>
      </c>
      <c r="L47" s="32">
        <f t="shared" si="16"/>
        <v>-0.16593621305263162</v>
      </c>
      <c r="M47" s="27">
        <f t="shared" si="17"/>
        <v>-53.077239865319882</v>
      </c>
      <c r="N47" s="28">
        <v>0.95</v>
      </c>
      <c r="O47" s="29">
        <f t="shared" si="18"/>
        <v>0.47499999999999998</v>
      </c>
      <c r="P47" s="30">
        <f t="shared" si="19"/>
        <v>-0.47499999999999998</v>
      </c>
    </row>
    <row r="48" spans="1:16" x14ac:dyDescent="0.2">
      <c r="A48" s="19" t="s">
        <v>98</v>
      </c>
      <c r="B48" s="19" t="s">
        <v>99</v>
      </c>
      <c r="C48" s="20">
        <v>44481</v>
      </c>
      <c r="D48" s="19">
        <v>150</v>
      </c>
      <c r="E48" s="21">
        <v>1.4350000000000001</v>
      </c>
      <c r="F48" s="22">
        <v>2.54</v>
      </c>
      <c r="G48" s="23">
        <f t="shared" si="0"/>
        <v>265.5052264808362</v>
      </c>
      <c r="H48" s="47">
        <f>'[1]auto data'!M15</f>
        <v>2.69</v>
      </c>
      <c r="I48" s="19">
        <v>0</v>
      </c>
      <c r="J48" s="21">
        <f>C154</f>
        <v>1.4442518775274407</v>
      </c>
      <c r="K48" s="23">
        <f t="shared" si="15"/>
        <v>279.38339999999999</v>
      </c>
      <c r="L48" s="26">
        <f t="shared" si="16"/>
        <v>5.2270811023622174E-2</v>
      </c>
      <c r="M48" s="27">
        <f t="shared" si="17"/>
        <v>13.878173519163795</v>
      </c>
      <c r="N48" s="28">
        <v>2.85</v>
      </c>
      <c r="O48" s="29">
        <f t="shared" si="18"/>
        <v>1.425</v>
      </c>
      <c r="P48" s="30">
        <f t="shared" si="19"/>
        <v>-1.115</v>
      </c>
    </row>
    <row r="49" spans="1:16" x14ac:dyDescent="0.2">
      <c r="A49" s="31" t="s">
        <v>100</v>
      </c>
      <c r="B49" s="19" t="s">
        <v>101</v>
      </c>
      <c r="C49" s="20">
        <v>44488</v>
      </c>
      <c r="D49" s="19">
        <v>2000</v>
      </c>
      <c r="E49" s="21">
        <v>1.4415</v>
      </c>
      <c r="F49" s="22">
        <v>0.315</v>
      </c>
      <c r="G49" s="23">
        <f t="shared" si="0"/>
        <v>437.04474505723203</v>
      </c>
      <c r="H49" s="47">
        <f>'[1]auto data'!M16</f>
        <v>0.28000000000000003</v>
      </c>
      <c r="I49" s="19">
        <v>0</v>
      </c>
      <c r="J49" s="21">
        <f>C154</f>
        <v>1.4442518775274407</v>
      </c>
      <c r="K49" s="23">
        <f t="shared" si="15"/>
        <v>387.74400000000009</v>
      </c>
      <c r="L49" s="32">
        <f t="shared" si="16"/>
        <v>-0.11280479999999977</v>
      </c>
      <c r="M49" s="27">
        <f t="shared" si="17"/>
        <v>-49.30074505723195</v>
      </c>
      <c r="N49" s="28">
        <v>0.36499999999999999</v>
      </c>
      <c r="O49" s="29">
        <f t="shared" si="18"/>
        <v>0.1825</v>
      </c>
      <c r="P49" s="30">
        <f t="shared" si="19"/>
        <v>-0.13250000000000001</v>
      </c>
    </row>
    <row r="50" spans="1:16" x14ac:dyDescent="0.2">
      <c r="A50" s="31" t="s">
        <v>102</v>
      </c>
      <c r="B50" s="19" t="s">
        <v>103</v>
      </c>
      <c r="C50" s="20">
        <v>44488</v>
      </c>
      <c r="D50" s="19">
        <v>400</v>
      </c>
      <c r="E50" s="21">
        <v>1.4424999999999999</v>
      </c>
      <c r="F50" s="22">
        <v>2.06</v>
      </c>
      <c r="G50" s="23">
        <f t="shared" si="0"/>
        <v>571.23050259965339</v>
      </c>
      <c r="H50" s="47">
        <f>'[1]auto data'!M17</f>
        <v>1.2715000000000001</v>
      </c>
      <c r="I50" s="19">
        <v>0</v>
      </c>
      <c r="J50" s="21">
        <f>C154</f>
        <v>1.4442518775274407</v>
      </c>
      <c r="K50" s="23">
        <f t="shared" si="15"/>
        <v>352.15464000000003</v>
      </c>
      <c r="L50" s="32">
        <f t="shared" si="16"/>
        <v>-0.38351569393203877</v>
      </c>
      <c r="M50" s="27">
        <f t="shared" si="17"/>
        <v>-219.07586259965336</v>
      </c>
      <c r="N50" s="28">
        <v>2.91</v>
      </c>
      <c r="O50" s="29">
        <f t="shared" si="18"/>
        <v>1.4550000000000001</v>
      </c>
      <c r="P50" s="30">
        <f t="shared" si="19"/>
        <v>-0.60499999999999998</v>
      </c>
    </row>
    <row r="51" spans="1:16" x14ac:dyDescent="0.2">
      <c r="A51" s="31" t="s">
        <v>104</v>
      </c>
      <c r="B51" s="19" t="s">
        <v>105</v>
      </c>
      <c r="C51" s="20">
        <v>44522</v>
      </c>
      <c r="D51" s="19">
        <v>1600</v>
      </c>
      <c r="E51" s="21">
        <v>1.4365000000000001</v>
      </c>
      <c r="F51" s="22">
        <v>0.38</v>
      </c>
      <c r="G51" s="23">
        <f t="shared" si="0"/>
        <v>423.25095718760872</v>
      </c>
      <c r="H51" s="47">
        <f>'[1]auto data'!M18</f>
        <v>0.31</v>
      </c>
      <c r="I51" s="19">
        <v>0</v>
      </c>
      <c r="J51" s="21">
        <f>C154</f>
        <v>1.4442518775274407</v>
      </c>
      <c r="K51" s="23">
        <f t="shared" si="15"/>
        <v>343.43040000000002</v>
      </c>
      <c r="L51" s="32">
        <f t="shared" si="16"/>
        <v>-0.18858919473684196</v>
      </c>
      <c r="M51" s="27">
        <f t="shared" si="17"/>
        <v>-79.820557187608699</v>
      </c>
      <c r="N51" s="28">
        <v>3.91</v>
      </c>
      <c r="O51" s="29">
        <f t="shared" si="18"/>
        <v>1.9550000000000001</v>
      </c>
      <c r="P51" s="30">
        <f t="shared" si="19"/>
        <v>1.5750000000000002</v>
      </c>
    </row>
    <row r="52" spans="1:16" x14ac:dyDescent="0.2">
      <c r="A52" s="31" t="s">
        <v>106</v>
      </c>
      <c r="B52" s="19" t="s">
        <v>107</v>
      </c>
      <c r="C52" s="20">
        <v>44522</v>
      </c>
      <c r="D52" s="19">
        <v>800</v>
      </c>
      <c r="E52" s="21">
        <v>1.43</v>
      </c>
      <c r="F52" s="22">
        <v>0.71</v>
      </c>
      <c r="G52" s="23">
        <f t="shared" si="0"/>
        <v>397.20279720279723</v>
      </c>
      <c r="H52" s="47">
        <f>'[1]auto data'!M19</f>
        <v>0.56000000000000005</v>
      </c>
      <c r="I52" s="19">
        <v>0</v>
      </c>
      <c r="J52" s="21">
        <f>C154</f>
        <v>1.4442518775274407</v>
      </c>
      <c r="K52" s="23">
        <f t="shared" si="15"/>
        <v>310.19520000000006</v>
      </c>
      <c r="L52" s="32">
        <f t="shared" si="16"/>
        <v>-0.21905081690140835</v>
      </c>
      <c r="M52" s="27">
        <f t="shared" si="17"/>
        <v>-87.007597202797172</v>
      </c>
      <c r="N52" s="28">
        <v>4.91</v>
      </c>
      <c r="O52" s="29">
        <f t="shared" si="18"/>
        <v>2.4550000000000001</v>
      </c>
      <c r="P52" s="30">
        <f t="shared" si="19"/>
        <v>1.7450000000000001</v>
      </c>
    </row>
    <row r="53" spans="1:16" x14ac:dyDescent="0.2">
      <c r="A53" s="19" t="s">
        <v>108</v>
      </c>
      <c r="B53" s="19" t="s">
        <v>109</v>
      </c>
      <c r="C53" s="20">
        <v>44550</v>
      </c>
      <c r="D53" s="19">
        <v>100</v>
      </c>
      <c r="E53" s="21">
        <v>1.1315</v>
      </c>
      <c r="F53" s="22">
        <v>4.2699999999999996</v>
      </c>
      <c r="G53" s="23">
        <f t="shared" si="0"/>
        <v>377.37516570923549</v>
      </c>
      <c r="H53" s="47">
        <f>'[1]auto data'!T15</f>
        <v>3.9278451761987285</v>
      </c>
      <c r="I53" s="19">
        <v>0</v>
      </c>
      <c r="J53" s="21">
        <f>C153</f>
        <v>1.1325028312570782</v>
      </c>
      <c r="K53" s="23">
        <f t="shared" si="15"/>
        <v>346.82872905834768</v>
      </c>
      <c r="L53" s="32">
        <f t="shared" si="16"/>
        <v>-8.0944480258734339E-2</v>
      </c>
      <c r="M53" s="27">
        <f t="shared" si="17"/>
        <v>-30.546436650887813</v>
      </c>
      <c r="N53" s="28">
        <v>4.6399999999999997</v>
      </c>
      <c r="O53" s="29">
        <f t="shared" si="18"/>
        <v>2.3199999999999998</v>
      </c>
      <c r="P53" s="30">
        <f t="shared" si="19"/>
        <v>-1.9499999999999997</v>
      </c>
    </row>
    <row r="54" spans="1:16" x14ac:dyDescent="0.2">
      <c r="A54" s="19" t="s">
        <v>110</v>
      </c>
      <c r="B54" s="19" t="s">
        <v>111</v>
      </c>
      <c r="C54" s="20">
        <v>44550</v>
      </c>
      <c r="D54" s="19">
        <v>100</v>
      </c>
      <c r="E54" s="21">
        <v>1.1258999999999999</v>
      </c>
      <c r="F54" s="22">
        <v>6.4950000000000001</v>
      </c>
      <c r="G54" s="23">
        <f t="shared" si="0"/>
        <v>576.87183586464164</v>
      </c>
      <c r="H54" s="47">
        <f>'[1]auto data'!M6</f>
        <v>6.23</v>
      </c>
      <c r="I54" s="19">
        <v>0</v>
      </c>
      <c r="J54" s="21">
        <f>C153</f>
        <v>1.1325028312570782</v>
      </c>
      <c r="K54" s="23">
        <f t="shared" si="15"/>
        <v>550.10900000000004</v>
      </c>
      <c r="L54" s="32">
        <f t="shared" si="16"/>
        <v>-4.6393036027713594E-2</v>
      </c>
      <c r="M54" s="27">
        <f t="shared" si="17"/>
        <v>-26.762835864641602</v>
      </c>
      <c r="N54" s="28">
        <v>6.91</v>
      </c>
      <c r="O54" s="29">
        <f t="shared" si="18"/>
        <v>3.4550000000000001</v>
      </c>
      <c r="P54" s="30">
        <f t="shared" si="19"/>
        <v>-3.04</v>
      </c>
    </row>
    <row r="55" spans="1:16" x14ac:dyDescent="0.2">
      <c r="A55" s="19" t="s">
        <v>112</v>
      </c>
      <c r="B55" s="19" t="s">
        <v>113</v>
      </c>
      <c r="C55" s="20">
        <v>44582</v>
      </c>
      <c r="D55" s="19">
        <v>400</v>
      </c>
      <c r="E55" s="21">
        <v>1.1346000000000001</v>
      </c>
      <c r="F55" s="22">
        <v>1.2</v>
      </c>
      <c r="G55" s="23">
        <f t="shared" si="0"/>
        <v>423.05658381808564</v>
      </c>
      <c r="H55" s="47">
        <f>'[1]auto data'!M4</f>
        <v>1.1850000000000001</v>
      </c>
      <c r="I55" s="19">
        <v>0</v>
      </c>
      <c r="J55" s="21">
        <f>C153</f>
        <v>1.1325028312570782</v>
      </c>
      <c r="K55" s="23">
        <f t="shared" si="15"/>
        <v>418.54199999999997</v>
      </c>
      <c r="L55" s="32">
        <f t="shared" si="16"/>
        <v>-1.0671347499999999E-2</v>
      </c>
      <c r="M55" s="27">
        <f t="shared" si="17"/>
        <v>-4.5145838180856686</v>
      </c>
      <c r="N55" s="28">
        <v>1.2</v>
      </c>
      <c r="O55" s="29">
        <f t="shared" si="18"/>
        <v>0.6</v>
      </c>
      <c r="P55" s="30">
        <f t="shared" si="19"/>
        <v>-0.6</v>
      </c>
    </row>
    <row r="56" spans="1:16" x14ac:dyDescent="0.2">
      <c r="A56" s="19" t="s">
        <v>114</v>
      </c>
      <c r="B56" s="19" t="s">
        <v>115</v>
      </c>
      <c r="C56" s="20">
        <v>44586</v>
      </c>
      <c r="D56" s="19">
        <v>500</v>
      </c>
      <c r="E56" s="21">
        <v>1.1324000000000001</v>
      </c>
      <c r="F56" s="22">
        <v>1.1000000000000001</v>
      </c>
      <c r="G56" s="23">
        <f t="shared" si="0"/>
        <v>485.69410102437297</v>
      </c>
      <c r="H56" s="47">
        <f>'[1]auto data'!S16</f>
        <v>1.1599999999999999</v>
      </c>
      <c r="I56" s="19">
        <v>0</v>
      </c>
      <c r="J56" s="21">
        <f>C153</f>
        <v>1.1325028312570782</v>
      </c>
      <c r="K56" s="23">
        <f t="shared" si="15"/>
        <v>512.13999999999987</v>
      </c>
      <c r="L56" s="26">
        <f t="shared" si="16"/>
        <v>5.4449701818181651E-2</v>
      </c>
      <c r="M56" s="27">
        <f t="shared" si="17"/>
        <v>26.445898975626903</v>
      </c>
      <c r="N56" s="28">
        <v>1.17</v>
      </c>
      <c r="O56" s="29">
        <f t="shared" si="18"/>
        <v>0.58499999999999996</v>
      </c>
      <c r="P56" s="30">
        <f t="shared" si="19"/>
        <v>-0.51500000000000012</v>
      </c>
    </row>
    <row r="57" spans="1:16" x14ac:dyDescent="0.2">
      <c r="A57" s="19" t="s">
        <v>116</v>
      </c>
      <c r="B57" s="19" t="s">
        <v>117</v>
      </c>
      <c r="C57" s="20">
        <v>44589</v>
      </c>
      <c r="D57" s="19">
        <v>100</v>
      </c>
      <c r="E57" s="21">
        <v>1.1152</v>
      </c>
      <c r="F57" s="22">
        <v>2.42</v>
      </c>
      <c r="G57" s="23">
        <f t="shared" si="0"/>
        <v>217.00143472022955</v>
      </c>
      <c r="H57" s="47">
        <f>'[1]auto data'!S18</f>
        <v>2.88</v>
      </c>
      <c r="I57" s="19">
        <v>0</v>
      </c>
      <c r="J57" s="21">
        <f>C153</f>
        <v>1.1325028312570782</v>
      </c>
      <c r="K57" s="23">
        <f t="shared" si="15"/>
        <v>254.304</v>
      </c>
      <c r="L57" s="26">
        <f t="shared" si="16"/>
        <v>0.17190008595041323</v>
      </c>
      <c r="M57" s="27">
        <f t="shared" si="17"/>
        <v>37.302565279770448</v>
      </c>
      <c r="N57" s="28">
        <v>2.4500000000000002</v>
      </c>
      <c r="O57" s="29">
        <f t="shared" si="18"/>
        <v>1.2250000000000001</v>
      </c>
      <c r="P57" s="30">
        <f t="shared" si="19"/>
        <v>-1.1949999999999998</v>
      </c>
    </row>
    <row r="58" spans="1:16" x14ac:dyDescent="0.2">
      <c r="A58" s="2" t="s">
        <v>118</v>
      </c>
      <c r="B58" s="3"/>
      <c r="C58" s="3"/>
      <c r="D58" s="3"/>
      <c r="E58" s="3"/>
      <c r="F58" s="4"/>
      <c r="G58" s="5"/>
      <c r="H58" s="6"/>
      <c r="I58" s="6"/>
      <c r="J58" s="6"/>
      <c r="K58" s="7"/>
      <c r="L58" s="8" t="s">
        <v>1</v>
      </c>
      <c r="M58" s="9">
        <f>SUM(K60:K61)</f>
        <v>666.78120000000013</v>
      </c>
      <c r="N58" s="10"/>
      <c r="O58" s="11"/>
      <c r="P58" s="12">
        <f>M58/P158</f>
        <v>1.1898396776657615E-2</v>
      </c>
    </row>
    <row r="59" spans="1:16" x14ac:dyDescent="0.2">
      <c r="A59" s="13" t="s">
        <v>2</v>
      </c>
      <c r="B59" s="13" t="s">
        <v>3</v>
      </c>
      <c r="C59" s="14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5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6" t="s">
        <v>14</v>
      </c>
      <c r="N59" s="17" t="s">
        <v>15</v>
      </c>
      <c r="O59" s="18" t="s">
        <v>16</v>
      </c>
      <c r="P59" s="16" t="s">
        <v>17</v>
      </c>
    </row>
    <row r="60" spans="1:16" x14ac:dyDescent="0.2">
      <c r="A60" s="19" t="s">
        <v>119</v>
      </c>
      <c r="B60" s="19" t="s">
        <v>120</v>
      </c>
      <c r="C60" s="20">
        <v>44187</v>
      </c>
      <c r="D60" s="19">
        <v>200</v>
      </c>
      <c r="E60" s="21">
        <v>1.51</v>
      </c>
      <c r="F60" s="25">
        <v>2.8</v>
      </c>
      <c r="G60" s="23">
        <f t="shared" si="0"/>
        <v>370.86092715231786</v>
      </c>
      <c r="H60" s="49">
        <f>'[1]auto data'!P4</f>
        <v>2.99</v>
      </c>
      <c r="I60" s="19">
        <v>0</v>
      </c>
      <c r="J60" s="21">
        <f>C154</f>
        <v>1.4442518775274407</v>
      </c>
      <c r="K60" s="23">
        <f>((H60+I60)/J60)*D60</f>
        <v>414.05520000000007</v>
      </c>
      <c r="L60" s="26">
        <f>(K60-G60)/G60</f>
        <v>0.11647027142857169</v>
      </c>
      <c r="M60" s="27">
        <f>K60-G60</f>
        <v>43.194272847682214</v>
      </c>
      <c r="N60" s="28">
        <v>5.3</v>
      </c>
      <c r="O60" s="29">
        <f>(N60+I60)*0.5</f>
        <v>2.65</v>
      </c>
      <c r="P60" s="30">
        <f>O60-F60</f>
        <v>-0.14999999999999991</v>
      </c>
    </row>
    <row r="61" spans="1:16" x14ac:dyDescent="0.2">
      <c r="A61" s="19" t="s">
        <v>121</v>
      </c>
      <c r="B61" s="19" t="s">
        <v>122</v>
      </c>
      <c r="C61" s="20">
        <v>44246</v>
      </c>
      <c r="D61" s="19">
        <v>1000</v>
      </c>
      <c r="E61" s="21">
        <v>1.54</v>
      </c>
      <c r="F61" s="25">
        <v>0.34</v>
      </c>
      <c r="G61" s="23">
        <f t="shared" si="0"/>
        <v>220.77922077922076</v>
      </c>
      <c r="H61" s="49">
        <f>'[1]auto data'!P5</f>
        <v>0.36499999999999999</v>
      </c>
      <c r="I61" s="19">
        <v>0</v>
      </c>
      <c r="J61" s="21">
        <f>C154</f>
        <v>1.4442518775274407</v>
      </c>
      <c r="K61" s="23">
        <f>((H61+I61)/J61)*D61</f>
        <v>252.726</v>
      </c>
      <c r="L61" s="26">
        <f>(K61-G61)/G61</f>
        <v>0.1447001176470589</v>
      </c>
      <c r="M61" s="27">
        <f>K61-G61</f>
        <v>31.946779220779234</v>
      </c>
      <c r="N61" s="28">
        <v>0.4</v>
      </c>
      <c r="O61" s="29">
        <f>(N61+I61)*0.33</f>
        <v>0.13200000000000001</v>
      </c>
      <c r="P61" s="30">
        <f>O61-F61</f>
        <v>-0.20800000000000002</v>
      </c>
    </row>
    <row r="62" spans="1:16" x14ac:dyDescent="0.2">
      <c r="A62" s="31" t="s">
        <v>123</v>
      </c>
      <c r="B62" s="19" t="s">
        <v>124</v>
      </c>
      <c r="C62" s="20">
        <v>44552</v>
      </c>
      <c r="D62" s="19">
        <v>4000</v>
      </c>
      <c r="E62" s="21">
        <v>1.4556</v>
      </c>
      <c r="F62" s="25">
        <v>0.17749999999999999</v>
      </c>
      <c r="G62" s="23">
        <f t="shared" si="0"/>
        <v>487.77136575982411</v>
      </c>
      <c r="H62" s="49">
        <f>'[1]auto data'!W19</f>
        <v>0.16</v>
      </c>
      <c r="I62" s="19">
        <v>0</v>
      </c>
      <c r="J62" s="21">
        <f>C154</f>
        <v>1.4442518775274407</v>
      </c>
      <c r="K62" s="23">
        <f>((H62+I62)/J62)*D62</f>
        <v>443.13600000000002</v>
      </c>
      <c r="L62" s="32">
        <f>(K62-G62)/G62</f>
        <v>-9.1508786478873158E-2</v>
      </c>
      <c r="M62" s="27">
        <f>K62-G62</f>
        <v>-44.635365759824083</v>
      </c>
      <c r="N62" s="28">
        <v>0.2</v>
      </c>
      <c r="O62" s="29">
        <f>(N62+I62)*0.33</f>
        <v>6.6000000000000003E-2</v>
      </c>
      <c r="P62" s="30">
        <f>O62-F62</f>
        <v>-0.11149999999999999</v>
      </c>
    </row>
    <row r="63" spans="1:16" x14ac:dyDescent="0.2">
      <c r="A63" s="19" t="s">
        <v>125</v>
      </c>
      <c r="B63" s="19" t="s">
        <v>126</v>
      </c>
      <c r="C63" s="20">
        <v>44552</v>
      </c>
      <c r="D63" s="19">
        <v>100</v>
      </c>
      <c r="E63" s="21">
        <v>0.8488</v>
      </c>
      <c r="F63" s="38">
        <v>413</v>
      </c>
      <c r="G63" s="23">
        <f>(F63*D63)/E63/100</f>
        <v>486.56927426955701</v>
      </c>
      <c r="H63" s="50">
        <f>'[1]auto data'!W18</f>
        <v>441</v>
      </c>
      <c r="I63" s="19">
        <v>0</v>
      </c>
      <c r="J63" s="21">
        <f>C156</f>
        <v>0.83333333333333337</v>
      </c>
      <c r="K63" s="23">
        <f>((H63+I63)/J63)*D63/100</f>
        <v>529.19999999999993</v>
      </c>
      <c r="L63" s="26">
        <f>(K63-G63)/G63</f>
        <v>8.7614915254237161E-2</v>
      </c>
      <c r="M63" s="27">
        <f>K63-G63</f>
        <v>42.630725730442919</v>
      </c>
      <c r="N63" s="51">
        <v>408</v>
      </c>
      <c r="O63" s="52">
        <f>(N63+I63)*0.33</f>
        <v>134.64000000000001</v>
      </c>
      <c r="P63" s="30">
        <f>O63-F63</f>
        <v>-278.36</v>
      </c>
    </row>
    <row r="64" spans="1:16" x14ac:dyDescent="0.2">
      <c r="A64" s="19" t="s">
        <v>127</v>
      </c>
      <c r="B64" s="19" t="s">
        <v>128</v>
      </c>
      <c r="C64" s="20">
        <v>44559</v>
      </c>
      <c r="D64" s="19">
        <v>200</v>
      </c>
      <c r="E64" s="21">
        <v>1.1322000000000001</v>
      </c>
      <c r="F64" s="25">
        <v>1.73</v>
      </c>
      <c r="G64" s="23">
        <f>(F64*D64)/E64</f>
        <v>305.59971736442321</v>
      </c>
      <c r="H64" s="49">
        <f>'[1]auto data'!P6</f>
        <v>1.5149999999999999</v>
      </c>
      <c r="I64" s="19">
        <v>0</v>
      </c>
      <c r="J64" s="21">
        <f>C153</f>
        <v>1.1325028312570782</v>
      </c>
      <c r="K64" s="23">
        <f>((H64+I64)/J64)*D64</f>
        <v>267.54899999999998</v>
      </c>
      <c r="L64" s="32">
        <f>(K64-G64)/G64</f>
        <v>-0.1245116248554913</v>
      </c>
      <c r="M64" s="27">
        <f>K64-G64</f>
        <v>-38.050717364423235</v>
      </c>
      <c r="N64" s="28">
        <v>1.73</v>
      </c>
      <c r="O64" s="29">
        <f>(N64+I64)*0.33</f>
        <v>0.57090000000000007</v>
      </c>
      <c r="P64" s="30">
        <f>O64-F64</f>
        <v>-1.1591</v>
      </c>
    </row>
    <row r="65" spans="1:16" x14ac:dyDescent="0.2">
      <c r="A65" s="2" t="s">
        <v>129</v>
      </c>
      <c r="B65" s="3"/>
      <c r="C65" s="3"/>
      <c r="D65" s="3"/>
      <c r="E65" s="3"/>
      <c r="F65" s="4"/>
      <c r="G65" s="5"/>
      <c r="H65" s="6"/>
      <c r="I65" s="6"/>
      <c r="J65" s="6"/>
      <c r="K65" s="7"/>
      <c r="L65" s="8" t="s">
        <v>1</v>
      </c>
      <c r="M65" s="9">
        <f>SUM(K67:K74)</f>
        <v>887.45097319498484</v>
      </c>
      <c r="N65" s="10"/>
      <c r="O65" s="11"/>
      <c r="P65" s="12">
        <f>M65/P158</f>
        <v>1.5836145048637947E-2</v>
      </c>
    </row>
    <row r="66" spans="1:16" x14ac:dyDescent="0.2">
      <c r="A66" s="13" t="s">
        <v>130</v>
      </c>
      <c r="B66" s="13" t="s">
        <v>3</v>
      </c>
      <c r="C66" s="14" t="s">
        <v>4</v>
      </c>
      <c r="D66" s="13" t="s">
        <v>5</v>
      </c>
      <c r="E66" s="13" t="s">
        <v>6</v>
      </c>
      <c r="F66" s="13" t="s">
        <v>7</v>
      </c>
      <c r="G66" s="13" t="s">
        <v>8</v>
      </c>
      <c r="H66" s="15" t="s">
        <v>9</v>
      </c>
      <c r="I66" s="13" t="s">
        <v>10</v>
      </c>
      <c r="J66" s="13" t="s">
        <v>11</v>
      </c>
      <c r="K66" s="13" t="s">
        <v>131</v>
      </c>
      <c r="L66" s="13" t="s">
        <v>13</v>
      </c>
      <c r="M66" s="53"/>
      <c r="N66" s="54"/>
      <c r="O66" s="55"/>
      <c r="P66" s="16" t="s">
        <v>132</v>
      </c>
    </row>
    <row r="67" spans="1:16" x14ac:dyDescent="0.2">
      <c r="A67" s="43" t="s">
        <v>133</v>
      </c>
      <c r="B67" s="19" t="s">
        <v>45</v>
      </c>
      <c r="C67" s="20">
        <v>44033</v>
      </c>
      <c r="D67" s="19">
        <v>1</v>
      </c>
      <c r="E67" s="21">
        <v>1.145</v>
      </c>
      <c r="F67" s="22">
        <v>-261</v>
      </c>
      <c r="G67" s="23">
        <f>(F67*D67)/E67</f>
        <v>-227.94759825327512</v>
      </c>
      <c r="H67" s="56">
        <v>-125</v>
      </c>
      <c r="I67" s="19">
        <v>0</v>
      </c>
      <c r="J67" s="21">
        <f>C153</f>
        <v>1.1325028312570782</v>
      </c>
      <c r="K67" s="23">
        <f>((H67-F67)/J67)*D67</f>
        <v>120.08799999999999</v>
      </c>
      <c r="L67" s="26">
        <f>-(K67-G67)/G67</f>
        <v>1.5268228352490421</v>
      </c>
      <c r="M67" s="27"/>
      <c r="N67" s="43"/>
      <c r="O67" s="29"/>
      <c r="P67" s="30" t="s">
        <v>134</v>
      </c>
    </row>
    <row r="68" spans="1:16" x14ac:dyDescent="0.2">
      <c r="A68" s="43" t="s">
        <v>135</v>
      </c>
      <c r="B68" s="19" t="s">
        <v>19</v>
      </c>
      <c r="C68" s="20">
        <v>44946</v>
      </c>
      <c r="D68" s="19">
        <v>2</v>
      </c>
      <c r="E68" s="21">
        <v>1.2199</v>
      </c>
      <c r="F68" s="19">
        <v>-240</v>
      </c>
      <c r="G68" s="23">
        <f>(F68*D68)/E68</f>
        <v>-393.47487498975329</v>
      </c>
      <c r="H68" s="51">
        <v>-127</v>
      </c>
      <c r="I68" s="19">
        <v>0</v>
      </c>
      <c r="J68" s="21">
        <f>C153</f>
        <v>1.1325028312570782</v>
      </c>
      <c r="K68" s="23">
        <f>((H68-F68)/J68)*D68</f>
        <v>199.55799999999999</v>
      </c>
      <c r="L68" s="26">
        <f>-(K68)/G68</f>
        <v>0.50716834208333328</v>
      </c>
      <c r="M68" s="27"/>
      <c r="N68" s="43"/>
      <c r="O68" s="29"/>
      <c r="P68" s="30"/>
    </row>
    <row r="69" spans="1:16" x14ac:dyDescent="0.2">
      <c r="A69" s="43" t="s">
        <v>136</v>
      </c>
      <c r="B69" s="19" t="s">
        <v>111</v>
      </c>
      <c r="C69" s="20">
        <v>44946</v>
      </c>
      <c r="D69" s="19">
        <v>1</v>
      </c>
      <c r="E69" s="21">
        <v>1.2027000000000001</v>
      </c>
      <c r="F69" s="19">
        <v>-225</v>
      </c>
      <c r="G69" s="23">
        <f>(F69*D69)/E69</f>
        <v>-187.07907208780242</v>
      </c>
      <c r="H69" s="51">
        <v>-137</v>
      </c>
      <c r="I69" s="19">
        <v>0</v>
      </c>
      <c r="J69" s="21">
        <f>C153</f>
        <v>1.1325028312570782</v>
      </c>
      <c r="K69" s="23">
        <f t="shared" ref="K69:K71" si="20">((H69-F69)/J69)*D69</f>
        <v>77.703999999999994</v>
      </c>
      <c r="L69" s="26">
        <f t="shared" ref="L69:L70" si="21">-(K69)/G69</f>
        <v>0.41535378133333334</v>
      </c>
      <c r="M69" s="27"/>
      <c r="N69" s="43"/>
      <c r="O69" s="29"/>
      <c r="P69" s="30"/>
    </row>
    <row r="70" spans="1:16" x14ac:dyDescent="0.2">
      <c r="A70" s="43" t="s">
        <v>137</v>
      </c>
      <c r="B70" s="19" t="s">
        <v>37</v>
      </c>
      <c r="C70" s="20">
        <v>44610</v>
      </c>
      <c r="D70" s="19">
        <v>1</v>
      </c>
      <c r="E70" s="21">
        <v>1.2027000000000001</v>
      </c>
      <c r="F70" s="19">
        <v>-276</v>
      </c>
      <c r="G70" s="23">
        <f>(F70*D70)/E70</f>
        <v>-229.48366176103764</v>
      </c>
      <c r="H70" s="50">
        <v>-345</v>
      </c>
      <c r="I70" s="19">
        <v>0</v>
      </c>
      <c r="J70" s="21">
        <f>C153</f>
        <v>1.1325028312570782</v>
      </c>
      <c r="K70" s="23">
        <f t="shared" si="20"/>
        <v>-60.927</v>
      </c>
      <c r="L70" s="32">
        <f t="shared" si="21"/>
        <v>-0.26549602500000002</v>
      </c>
      <c r="M70" s="27"/>
      <c r="N70" s="43"/>
      <c r="O70" s="29"/>
      <c r="P70" s="30" t="s">
        <v>134</v>
      </c>
    </row>
    <row r="71" spans="1:16" x14ac:dyDescent="0.2">
      <c r="A71" s="43" t="s">
        <v>138</v>
      </c>
      <c r="B71" s="19" t="s">
        <v>139</v>
      </c>
      <c r="C71" s="20">
        <v>44424</v>
      </c>
      <c r="D71" s="19">
        <v>2</v>
      </c>
      <c r="E71" s="21">
        <v>1.1735</v>
      </c>
      <c r="F71" s="19">
        <v>492</v>
      </c>
      <c r="G71" s="23">
        <f>(F71*D71)/E71</f>
        <v>838.51725607158073</v>
      </c>
      <c r="H71" s="50">
        <v>630</v>
      </c>
      <c r="I71" s="19">
        <v>0</v>
      </c>
      <c r="J71" s="21">
        <f>C153</f>
        <v>1.1325028312570782</v>
      </c>
      <c r="K71" s="23">
        <f t="shared" si="20"/>
        <v>243.708</v>
      </c>
      <c r="L71" s="26">
        <f>(K71)/G71</f>
        <v>0.29064160365853658</v>
      </c>
      <c r="M71" s="27"/>
      <c r="N71" s="43"/>
      <c r="O71" s="29"/>
      <c r="P71" s="30" t="s">
        <v>134</v>
      </c>
    </row>
    <row r="72" spans="1:16" x14ac:dyDescent="0.2">
      <c r="A72" s="43" t="s">
        <v>140</v>
      </c>
      <c r="B72" s="19" t="s">
        <v>68</v>
      </c>
      <c r="C72" s="20">
        <v>44396</v>
      </c>
      <c r="D72" s="19">
        <v>33</v>
      </c>
      <c r="E72" s="21">
        <v>1.5044</v>
      </c>
      <c r="F72" s="19">
        <v>4</v>
      </c>
      <c r="G72" s="23">
        <v>0</v>
      </c>
      <c r="H72" s="51">
        <v>4</v>
      </c>
      <c r="I72" s="19">
        <v>0</v>
      </c>
      <c r="J72" s="21">
        <f>C154</f>
        <v>1.4442518775274407</v>
      </c>
      <c r="K72" s="23">
        <f>H72</f>
        <v>4</v>
      </c>
      <c r="L72" s="26" t="s">
        <v>69</v>
      </c>
      <c r="M72" s="27"/>
      <c r="N72" s="57"/>
      <c r="O72" s="29"/>
      <c r="P72" s="42"/>
    </row>
    <row r="73" spans="1:16" x14ac:dyDescent="0.2">
      <c r="A73" s="43" t="s">
        <v>141</v>
      </c>
      <c r="B73" s="19" t="s">
        <v>142</v>
      </c>
      <c r="C73" s="20">
        <v>44498</v>
      </c>
      <c r="D73" s="19">
        <v>50</v>
      </c>
      <c r="E73" s="21">
        <v>1.1565000000000001</v>
      </c>
      <c r="F73" s="19">
        <v>2.42</v>
      </c>
      <c r="G73" s="23">
        <f>(F73*D73)/E73</f>
        <v>104.62602680501513</v>
      </c>
      <c r="H73" s="51">
        <v>260</v>
      </c>
      <c r="I73" s="19">
        <v>0</v>
      </c>
      <c r="J73" s="21">
        <f>C153</f>
        <v>1.1325028312570782</v>
      </c>
      <c r="K73" s="23">
        <f>H73/J73-G73</f>
        <v>124.95397319498485</v>
      </c>
      <c r="L73" s="26">
        <f>K73/G73</f>
        <v>1.1942914876033057</v>
      </c>
      <c r="M73" s="27"/>
      <c r="N73" s="43"/>
      <c r="O73" s="29"/>
      <c r="P73" s="42" t="s">
        <v>143</v>
      </c>
    </row>
    <row r="74" spans="1:16" x14ac:dyDescent="0.2">
      <c r="A74" s="43" t="s">
        <v>144</v>
      </c>
      <c r="B74" s="19" t="s">
        <v>145</v>
      </c>
      <c r="C74" s="20">
        <v>44498</v>
      </c>
      <c r="D74" s="19">
        <v>100</v>
      </c>
      <c r="E74" s="21">
        <v>1.1565000000000001</v>
      </c>
      <c r="F74" s="19">
        <v>4.8</v>
      </c>
      <c r="G74" s="23">
        <f>(F74*D74)/E74</f>
        <v>415.04539559014262</v>
      </c>
      <c r="H74" s="51">
        <v>202</v>
      </c>
      <c r="I74" s="19">
        <v>0</v>
      </c>
      <c r="J74" s="21">
        <f>C153</f>
        <v>1.1325028312570782</v>
      </c>
      <c r="K74" s="23">
        <f>H74/J74</f>
        <v>178.36599999999999</v>
      </c>
      <c r="L74" s="32">
        <f t="shared" ref="L74:L75" si="22">(K74-G74)/G74</f>
        <v>-0.57024941875000001</v>
      </c>
      <c r="M74" s="27"/>
      <c r="N74" s="43"/>
      <c r="O74" s="29"/>
      <c r="P74" s="42"/>
    </row>
    <row r="75" spans="1:16" x14ac:dyDescent="0.2">
      <c r="A75" s="43" t="s">
        <v>144</v>
      </c>
      <c r="B75" s="19" t="s">
        <v>146</v>
      </c>
      <c r="C75" s="20">
        <v>44509</v>
      </c>
      <c r="D75" s="19">
        <v>100</v>
      </c>
      <c r="E75" s="21">
        <v>1.1453</v>
      </c>
      <c r="F75" s="19">
        <v>2.9</v>
      </c>
      <c r="G75" s="23">
        <f>(F75*D75)/E75</f>
        <v>253.20876626211472</v>
      </c>
      <c r="H75" s="51">
        <v>81</v>
      </c>
      <c r="I75" s="19">
        <v>0</v>
      </c>
      <c r="J75" s="21">
        <f>C153</f>
        <v>1.1325028312570782</v>
      </c>
      <c r="K75" s="23">
        <f>H75/J75</f>
        <v>71.522999999999996</v>
      </c>
      <c r="L75" s="32">
        <f t="shared" si="22"/>
        <v>-0.71753347620689656</v>
      </c>
      <c r="M75" s="27"/>
      <c r="N75" s="43"/>
      <c r="O75" s="29"/>
      <c r="P75" s="42"/>
    </row>
    <row r="76" spans="1:16" x14ac:dyDescent="0.2">
      <c r="A76" s="2" t="s">
        <v>147</v>
      </c>
      <c r="B76" s="3"/>
      <c r="C76" s="3"/>
      <c r="D76" s="3"/>
      <c r="E76" s="3"/>
      <c r="F76" s="4"/>
      <c r="G76" s="58"/>
      <c r="H76" s="59"/>
      <c r="I76" s="59"/>
      <c r="J76" s="59"/>
      <c r="K76" s="60"/>
      <c r="L76" s="8" t="s">
        <v>1</v>
      </c>
      <c r="M76" s="9">
        <f>SUM(K78:K91)</f>
        <v>606.96218725791516</v>
      </c>
      <c r="N76" s="10"/>
      <c r="O76" s="11"/>
      <c r="P76" s="12">
        <f>M76/E161</f>
        <v>7.5651600957393475E-3</v>
      </c>
    </row>
    <row r="77" spans="1:16" x14ac:dyDescent="0.2">
      <c r="A77" s="13" t="s">
        <v>2</v>
      </c>
      <c r="B77" s="13" t="s">
        <v>3</v>
      </c>
      <c r="C77" s="14" t="s">
        <v>4</v>
      </c>
      <c r="D77" s="13" t="s">
        <v>5</v>
      </c>
      <c r="E77" s="13" t="s">
        <v>6</v>
      </c>
      <c r="F77" s="13" t="s">
        <v>7</v>
      </c>
      <c r="G77" s="13" t="s">
        <v>8</v>
      </c>
      <c r="H77" s="15" t="s">
        <v>9</v>
      </c>
      <c r="I77" s="13" t="s">
        <v>10</v>
      </c>
      <c r="J77" s="13" t="s">
        <v>11</v>
      </c>
      <c r="K77" s="13" t="s">
        <v>12</v>
      </c>
      <c r="L77" s="13" t="s">
        <v>13</v>
      </c>
      <c r="M77" s="16" t="s">
        <v>14</v>
      </c>
      <c r="N77" s="17"/>
      <c r="O77" s="18"/>
      <c r="P77" s="16"/>
    </row>
    <row r="78" spans="1:16" x14ac:dyDescent="0.2">
      <c r="A78" s="61" t="s">
        <v>148</v>
      </c>
      <c r="B78" s="19" t="s">
        <v>149</v>
      </c>
      <c r="C78" s="20">
        <v>44249</v>
      </c>
      <c r="D78" s="19">
        <v>21.1</v>
      </c>
      <c r="E78" s="21">
        <v>1</v>
      </c>
      <c r="F78" s="62">
        <v>9.8149999999999995</v>
      </c>
      <c r="G78" s="23">
        <f t="shared" ref="G78:G94" si="23">(F78*D78)/E78</f>
        <v>207.09649999999999</v>
      </c>
      <c r="H78" s="63">
        <f>[1]crypto!C8</f>
        <v>4.3499455999999999</v>
      </c>
      <c r="I78" s="19">
        <v>0</v>
      </c>
      <c r="J78" s="21">
        <v>1</v>
      </c>
      <c r="K78" s="23">
        <f t="shared" ref="K78:K82" si="24">((H78+I78)/J78)*D78</f>
        <v>91.783852160000009</v>
      </c>
      <c r="L78" s="32">
        <f t="shared" ref="L78:L82" si="25">(K78-G78)/G78</f>
        <v>-0.55680635761589403</v>
      </c>
      <c r="M78" s="27">
        <f t="shared" ref="M78:M82" si="26">K78-G78</f>
        <v>-115.31264783999998</v>
      </c>
      <c r="N78" s="43"/>
      <c r="O78" s="29"/>
      <c r="P78" s="30"/>
    </row>
    <row r="79" spans="1:16" x14ac:dyDescent="0.2">
      <c r="A79" s="19" t="s">
        <v>150</v>
      </c>
      <c r="B79" s="19" t="s">
        <v>151</v>
      </c>
      <c r="C79" s="20">
        <v>44264</v>
      </c>
      <c r="D79" s="19">
        <v>1.1299999999999999</v>
      </c>
      <c r="E79" s="21">
        <v>1</v>
      </c>
      <c r="F79" s="62">
        <v>35.15</v>
      </c>
      <c r="G79" s="23">
        <f t="shared" si="23"/>
        <v>39.719499999999996</v>
      </c>
      <c r="H79" s="63">
        <f>[1]crypto!C10</f>
        <v>25.192257999999999</v>
      </c>
      <c r="I79" s="19">
        <v>0</v>
      </c>
      <c r="J79" s="21">
        <v>1</v>
      </c>
      <c r="K79" s="23">
        <f t="shared" si="24"/>
        <v>28.467251539999996</v>
      </c>
      <c r="L79" s="32">
        <f>(K79-G79)/G79</f>
        <v>-0.28329280227596021</v>
      </c>
      <c r="M79" s="27">
        <f t="shared" si="26"/>
        <v>-11.252248460000001</v>
      </c>
      <c r="N79" s="43"/>
      <c r="O79" s="29"/>
      <c r="P79" s="42" t="s">
        <v>152</v>
      </c>
    </row>
    <row r="80" spans="1:16" x14ac:dyDescent="0.2">
      <c r="A80" s="19" t="s">
        <v>153</v>
      </c>
      <c r="B80" s="19" t="s">
        <v>154</v>
      </c>
      <c r="C80" s="20">
        <v>44268</v>
      </c>
      <c r="D80" s="19">
        <v>4</v>
      </c>
      <c r="E80" s="21">
        <v>1</v>
      </c>
      <c r="F80" s="62">
        <v>27.49</v>
      </c>
      <c r="G80" s="23">
        <f t="shared" si="23"/>
        <v>109.96</v>
      </c>
      <c r="H80" s="63">
        <f>[1]crypto!C7</f>
        <v>8.3062070000000006</v>
      </c>
      <c r="I80" s="19">
        <v>0</v>
      </c>
      <c r="J80" s="21">
        <v>1</v>
      </c>
      <c r="K80" s="23">
        <f t="shared" si="24"/>
        <v>33.224828000000002</v>
      </c>
      <c r="L80" s="32">
        <f t="shared" si="25"/>
        <v>-0.69784623499454346</v>
      </c>
      <c r="M80" s="27">
        <f t="shared" si="26"/>
        <v>-76.735171999999991</v>
      </c>
      <c r="N80" s="43"/>
      <c r="O80" s="29"/>
      <c r="P80" s="30"/>
    </row>
    <row r="81" spans="1:16" x14ac:dyDescent="0.2">
      <c r="A81" s="19" t="s">
        <v>155</v>
      </c>
      <c r="B81" s="19" t="s">
        <v>156</v>
      </c>
      <c r="C81" s="20">
        <v>44270</v>
      </c>
      <c r="D81" s="19">
        <v>5.75</v>
      </c>
      <c r="E81" s="21">
        <v>1</v>
      </c>
      <c r="F81" s="62">
        <v>16.86</v>
      </c>
      <c r="G81" s="23">
        <f t="shared" si="23"/>
        <v>96.944999999999993</v>
      </c>
      <c r="H81" s="63">
        <f>[1]crypto!C11</f>
        <v>3.2245031000000002</v>
      </c>
      <c r="I81" s="19">
        <v>0</v>
      </c>
      <c r="J81" s="21">
        <v>1</v>
      </c>
      <c r="K81" s="23">
        <f t="shared" si="24"/>
        <v>18.540892825</v>
      </c>
      <c r="L81" s="32">
        <f t="shared" si="25"/>
        <v>-0.80874833333333329</v>
      </c>
      <c r="M81" s="27">
        <f t="shared" si="26"/>
        <v>-78.404107174999993</v>
      </c>
      <c r="N81" s="43"/>
      <c r="O81" s="29"/>
      <c r="P81" s="30"/>
    </row>
    <row r="82" spans="1:16" x14ac:dyDescent="0.2">
      <c r="A82" s="19" t="s">
        <v>157</v>
      </c>
      <c r="B82" s="19" t="s">
        <v>158</v>
      </c>
      <c r="C82" s="20">
        <v>44280</v>
      </c>
      <c r="D82" s="19">
        <v>13.25</v>
      </c>
      <c r="E82" s="21">
        <v>1</v>
      </c>
      <c r="F82" s="62">
        <v>3.14</v>
      </c>
      <c r="G82" s="23">
        <f t="shared" si="23"/>
        <v>41.605000000000004</v>
      </c>
      <c r="H82" s="63">
        <f>[1]crypto!C12</f>
        <v>1.9445881</v>
      </c>
      <c r="I82" s="19">
        <v>0</v>
      </c>
      <c r="J82" s="21">
        <v>1</v>
      </c>
      <c r="K82" s="23">
        <f t="shared" si="24"/>
        <v>25.765792325</v>
      </c>
      <c r="L82" s="32">
        <f t="shared" si="25"/>
        <v>-0.38070442675159244</v>
      </c>
      <c r="M82" s="27">
        <f t="shared" si="26"/>
        <v>-15.839207675000004</v>
      </c>
      <c r="N82" s="43"/>
      <c r="O82" s="29"/>
      <c r="P82" s="42" t="s">
        <v>152</v>
      </c>
    </row>
    <row r="83" spans="1:16" x14ac:dyDescent="0.2">
      <c r="A83" s="35" t="s">
        <v>159</v>
      </c>
      <c r="B83" s="19" t="s">
        <v>160</v>
      </c>
      <c r="C83" s="20">
        <v>44309</v>
      </c>
      <c r="D83" s="19">
        <v>3.6</v>
      </c>
      <c r="E83" s="21">
        <v>1</v>
      </c>
      <c r="F83" s="62">
        <v>27.78</v>
      </c>
      <c r="G83" s="23">
        <f t="shared" si="23"/>
        <v>100.00800000000001</v>
      </c>
      <c r="H83" s="63">
        <f>[1]crypto!C14</f>
        <v>5.2491166077738516</v>
      </c>
      <c r="I83" s="19">
        <v>0</v>
      </c>
      <c r="J83" s="21">
        <v>1</v>
      </c>
      <c r="K83" s="23">
        <f>((H83+I83)/J83)*D83</f>
        <v>18.896819787985866</v>
      </c>
      <c r="L83" s="32">
        <f>(K83-G83)/G83</f>
        <v>-0.81104691836667209</v>
      </c>
      <c r="M83" s="27">
        <f>K83-G83</f>
        <v>-81.111180212014148</v>
      </c>
      <c r="N83" s="43"/>
      <c r="O83" s="29"/>
      <c r="P83" s="30"/>
    </row>
    <row r="84" spans="1:16" x14ac:dyDescent="0.2">
      <c r="A84" s="35" t="s">
        <v>161</v>
      </c>
      <c r="B84" s="19" t="s">
        <v>162</v>
      </c>
      <c r="C84" s="20">
        <v>44332</v>
      </c>
      <c r="D84" s="19">
        <v>21.5</v>
      </c>
      <c r="E84" s="21">
        <v>1</v>
      </c>
      <c r="F84" s="62">
        <v>4.51</v>
      </c>
      <c r="G84" s="23">
        <f t="shared" si="23"/>
        <v>96.964999999999989</v>
      </c>
      <c r="H84" s="63">
        <f>[1]crypto!C15</f>
        <v>1.3187538000000001</v>
      </c>
      <c r="I84" s="19">
        <v>0</v>
      </c>
      <c r="J84" s="21">
        <v>1</v>
      </c>
      <c r="K84" s="23">
        <f>((H84+I84)/J84)*D84</f>
        <v>28.353206700000001</v>
      </c>
      <c r="L84" s="32">
        <f>(K84-G84)/G84</f>
        <v>-0.70759339246119735</v>
      </c>
      <c r="M84" s="27">
        <f>K84-G84</f>
        <v>-68.611793299999988</v>
      </c>
      <c r="N84" s="43"/>
      <c r="O84" s="29"/>
      <c r="P84" s="30"/>
    </row>
    <row r="85" spans="1:16" x14ac:dyDescent="0.2">
      <c r="A85" s="35" t="s">
        <v>163</v>
      </c>
      <c r="B85" s="19" t="s">
        <v>164</v>
      </c>
      <c r="C85" s="20">
        <v>44332</v>
      </c>
      <c r="D85" s="19">
        <v>0.48</v>
      </c>
      <c r="E85" s="21">
        <v>1</v>
      </c>
      <c r="F85" s="25">
        <v>205.83</v>
      </c>
      <c r="G85" s="23">
        <f t="shared" si="23"/>
        <v>98.798400000000001</v>
      </c>
      <c r="H85" s="63">
        <f>[1]crypto!C16</f>
        <v>16.788954</v>
      </c>
      <c r="I85" s="19">
        <v>0</v>
      </c>
      <c r="J85" s="21">
        <v>1</v>
      </c>
      <c r="K85" s="23">
        <f>((H85+I85)/J85)*D85</f>
        <v>8.0586979200000002</v>
      </c>
      <c r="L85" s="32">
        <f>(K85-G85)/G85</f>
        <v>-0.91843291065442356</v>
      </c>
      <c r="M85" s="27">
        <f>K85-G85</f>
        <v>-90.739702080000001</v>
      </c>
      <c r="N85" s="43"/>
      <c r="O85" s="29"/>
      <c r="P85" s="30"/>
    </row>
    <row r="86" spans="1:16" x14ac:dyDescent="0.2">
      <c r="A86" s="19" t="s">
        <v>165</v>
      </c>
      <c r="B86" s="19" t="s">
        <v>166</v>
      </c>
      <c r="C86" s="20">
        <v>44447</v>
      </c>
      <c r="D86" s="19">
        <v>0.69</v>
      </c>
      <c r="E86" s="21">
        <v>1</v>
      </c>
      <c r="F86" s="25">
        <v>145</v>
      </c>
      <c r="G86" s="23">
        <f t="shared" si="23"/>
        <v>100.05</v>
      </c>
      <c r="H86" s="63">
        <f>[1]crypto!C17</f>
        <v>76.89</v>
      </c>
      <c r="I86" s="19">
        <v>0</v>
      </c>
      <c r="J86" s="21">
        <v>1</v>
      </c>
      <c r="K86" s="23">
        <f>((H86+I86)/J86)*D86</f>
        <v>53.054099999999998</v>
      </c>
      <c r="L86" s="32">
        <f t="shared" ref="L86:L94" si="27">(K86-G86)/G86</f>
        <v>-0.46972413793103446</v>
      </c>
      <c r="M86" s="27">
        <f t="shared" ref="M86:M94" si="28">K86-G86</f>
        <v>-46.995899999999999</v>
      </c>
      <c r="N86" s="43"/>
      <c r="O86" s="29"/>
      <c r="P86" s="30"/>
    </row>
    <row r="87" spans="1:16" x14ac:dyDescent="0.2">
      <c r="A87" s="19" t="s">
        <v>167</v>
      </c>
      <c r="B87" s="19" t="s">
        <v>168</v>
      </c>
      <c r="C87" s="20">
        <v>44447</v>
      </c>
      <c r="D87" s="19">
        <v>3.9E-2</v>
      </c>
      <c r="E87" s="21">
        <v>1</v>
      </c>
      <c r="F87" s="38">
        <v>2569</v>
      </c>
      <c r="G87" s="23">
        <f t="shared" si="23"/>
        <v>100.191</v>
      </c>
      <c r="H87" s="64">
        <f>[1]crypto!C18</f>
        <v>1616.139575971732</v>
      </c>
      <c r="I87" s="19">
        <v>0</v>
      </c>
      <c r="J87" s="21">
        <v>1</v>
      </c>
      <c r="K87" s="23">
        <f t="shared" ref="K87:K94" si="29">((H87+I87)/J87)*D87</f>
        <v>63.029443462897547</v>
      </c>
      <c r="L87" s="32">
        <f t="shared" si="27"/>
        <v>-0.37090713274747689</v>
      </c>
      <c r="M87" s="27">
        <f t="shared" si="28"/>
        <v>-37.161556537102456</v>
      </c>
      <c r="N87" s="43"/>
      <c r="O87" s="29"/>
      <c r="P87" s="30"/>
    </row>
    <row r="88" spans="1:16" x14ac:dyDescent="0.2">
      <c r="A88" s="19" t="s">
        <v>169</v>
      </c>
      <c r="B88" s="19" t="s">
        <v>170</v>
      </c>
      <c r="C88" s="20">
        <v>44477</v>
      </c>
      <c r="D88" s="19">
        <v>2325</v>
      </c>
      <c r="E88" s="21">
        <v>1</v>
      </c>
      <c r="F88" s="21">
        <v>4.1799999999999997E-2</v>
      </c>
      <c r="G88" s="23">
        <f t="shared" si="23"/>
        <v>97.184999999999988</v>
      </c>
      <c r="H88" s="65">
        <f>[1]crypto!C27</f>
        <v>2.5035335689045941E-2</v>
      </c>
      <c r="I88" s="19">
        <v>0</v>
      </c>
      <c r="J88" s="21">
        <v>1</v>
      </c>
      <c r="K88" s="23">
        <f t="shared" si="29"/>
        <v>58.207155477031812</v>
      </c>
      <c r="L88" s="32">
        <f t="shared" si="27"/>
        <v>-0.40106852418550376</v>
      </c>
      <c r="M88" s="27">
        <f t="shared" si="28"/>
        <v>-38.977844522968176</v>
      </c>
      <c r="N88" s="43"/>
      <c r="O88" s="29"/>
      <c r="P88" s="30"/>
    </row>
    <row r="89" spans="1:16" x14ac:dyDescent="0.2">
      <c r="A89" s="19" t="s">
        <v>171</v>
      </c>
      <c r="B89" s="19" t="s">
        <v>172</v>
      </c>
      <c r="C89" s="20">
        <v>44486</v>
      </c>
      <c r="D89" s="19">
        <v>76.5</v>
      </c>
      <c r="E89" s="21">
        <v>1</v>
      </c>
      <c r="F89" s="21">
        <v>1.27</v>
      </c>
      <c r="G89" s="23">
        <f t="shared" si="23"/>
        <v>97.155000000000001</v>
      </c>
      <c r="H89" s="63">
        <f>[1]crypto!C28</f>
        <v>1.36</v>
      </c>
      <c r="I89" s="19">
        <v>0</v>
      </c>
      <c r="J89" s="21">
        <v>1</v>
      </c>
      <c r="K89" s="23">
        <f t="shared" si="29"/>
        <v>104.04</v>
      </c>
      <c r="L89" s="26">
        <f t="shared" si="27"/>
        <v>7.0866141732283519E-2</v>
      </c>
      <c r="M89" s="27">
        <f t="shared" si="28"/>
        <v>6.8850000000000051</v>
      </c>
      <c r="N89" s="43"/>
      <c r="O89" s="29"/>
      <c r="P89" s="30"/>
    </row>
    <row r="90" spans="1:16" x14ac:dyDescent="0.2">
      <c r="A90" s="19" t="s">
        <v>173</v>
      </c>
      <c r="B90" s="19" t="s">
        <v>174</v>
      </c>
      <c r="C90" s="20">
        <v>44493</v>
      </c>
      <c r="D90" s="19">
        <v>0.38</v>
      </c>
      <c r="E90" s="21">
        <v>1</v>
      </c>
      <c r="F90" s="25">
        <v>255</v>
      </c>
      <c r="G90" s="23">
        <f t="shared" si="23"/>
        <v>96.9</v>
      </c>
      <c r="H90" s="63">
        <f>[1]crypto!C29</f>
        <v>90.750387000000003</v>
      </c>
      <c r="I90" s="19">
        <v>0</v>
      </c>
      <c r="J90" s="21">
        <v>1</v>
      </c>
      <c r="K90" s="23">
        <f t="shared" si="29"/>
        <v>34.485147060000003</v>
      </c>
      <c r="L90" s="32">
        <f t="shared" si="27"/>
        <v>-0.64411612941176466</v>
      </c>
      <c r="M90" s="27">
        <f t="shared" si="28"/>
        <v>-62.414852940000003</v>
      </c>
      <c r="N90" s="43"/>
      <c r="O90" s="29"/>
      <c r="P90" s="30"/>
    </row>
    <row r="91" spans="1:16" x14ac:dyDescent="0.2">
      <c r="A91" s="19" t="s">
        <v>175</v>
      </c>
      <c r="B91" s="19" t="s">
        <v>176</v>
      </c>
      <c r="C91" s="20">
        <v>44494</v>
      </c>
      <c r="D91" s="19">
        <v>102</v>
      </c>
      <c r="E91" s="21">
        <v>1</v>
      </c>
      <c r="F91" s="25">
        <v>0.95</v>
      </c>
      <c r="G91" s="23">
        <f t="shared" si="23"/>
        <v>96.899999999999991</v>
      </c>
      <c r="H91" s="63">
        <f>[1]crypto!C30</f>
        <v>0.40250000000000002</v>
      </c>
      <c r="I91" s="19">
        <v>0</v>
      </c>
      <c r="J91" s="21">
        <v>1</v>
      </c>
      <c r="K91" s="23">
        <f t="shared" si="29"/>
        <v>41.055</v>
      </c>
      <c r="L91" s="32">
        <f t="shared" si="27"/>
        <v>-0.57631578947368423</v>
      </c>
      <c r="M91" s="27">
        <f t="shared" si="28"/>
        <v>-55.844999999999992</v>
      </c>
      <c r="N91" s="43"/>
      <c r="O91" s="29"/>
      <c r="P91" s="30"/>
    </row>
    <row r="92" spans="1:16" x14ac:dyDescent="0.2">
      <c r="A92" s="19" t="s">
        <v>177</v>
      </c>
      <c r="B92" s="19" t="s">
        <v>178</v>
      </c>
      <c r="C92" s="20">
        <v>44510</v>
      </c>
      <c r="D92" s="19">
        <v>36</v>
      </c>
      <c r="E92" s="21">
        <v>1</v>
      </c>
      <c r="F92" s="25">
        <v>2.71</v>
      </c>
      <c r="G92" s="23">
        <f t="shared" si="23"/>
        <v>97.56</v>
      </c>
      <c r="H92" s="63">
        <f>[1]crypto!C31</f>
        <v>0.73087559999999996</v>
      </c>
      <c r="I92" s="19">
        <v>0</v>
      </c>
      <c r="J92" s="21">
        <v>1</v>
      </c>
      <c r="K92" s="23">
        <f t="shared" si="29"/>
        <v>26.311521599999999</v>
      </c>
      <c r="L92" s="32">
        <f t="shared" si="27"/>
        <v>-0.73030420664206652</v>
      </c>
      <c r="M92" s="27">
        <f t="shared" si="28"/>
        <v>-71.24847840000001</v>
      </c>
      <c r="N92" s="43"/>
      <c r="O92" s="29"/>
      <c r="P92" s="30"/>
    </row>
    <row r="93" spans="1:16" x14ac:dyDescent="0.2">
      <c r="A93" s="19" t="s">
        <v>179</v>
      </c>
      <c r="B93" s="19" t="s">
        <v>180</v>
      </c>
      <c r="C93" s="20">
        <v>44511</v>
      </c>
      <c r="D93" s="19">
        <v>221</v>
      </c>
      <c r="E93" s="21">
        <v>1</v>
      </c>
      <c r="F93" s="25">
        <v>0.44</v>
      </c>
      <c r="G93" s="23">
        <f t="shared" si="23"/>
        <v>97.24</v>
      </c>
      <c r="H93" s="63">
        <f>[1]crypto!C32</f>
        <v>0.16497663000000001</v>
      </c>
      <c r="I93" s="19">
        <v>0</v>
      </c>
      <c r="J93" s="21">
        <v>1</v>
      </c>
      <c r="K93" s="23">
        <f t="shared" si="29"/>
        <v>36.459835230000003</v>
      </c>
      <c r="L93" s="32">
        <f t="shared" si="27"/>
        <v>-0.62505311363636362</v>
      </c>
      <c r="M93" s="27">
        <f t="shared" si="28"/>
        <v>-60.780164769999992</v>
      </c>
      <c r="N93" s="43"/>
      <c r="O93" s="29"/>
      <c r="P93" s="30"/>
    </row>
    <row r="94" spans="1:16" x14ac:dyDescent="0.2">
      <c r="A94" s="19" t="s">
        <v>181</v>
      </c>
      <c r="B94" s="19" t="s">
        <v>182</v>
      </c>
      <c r="C94" s="20">
        <v>44511</v>
      </c>
      <c r="D94" s="19">
        <v>2.41</v>
      </c>
      <c r="E94" s="21">
        <v>1</v>
      </c>
      <c r="F94" s="25">
        <v>42.33</v>
      </c>
      <c r="G94" s="23">
        <f t="shared" si="23"/>
        <v>102.0153</v>
      </c>
      <c r="H94" s="63">
        <f>[1]crypto!C33</f>
        <v>14.95</v>
      </c>
      <c r="I94" s="19">
        <v>0</v>
      </c>
      <c r="J94" s="21">
        <v>1</v>
      </c>
      <c r="K94" s="23">
        <f t="shared" si="29"/>
        <v>36.029499999999999</v>
      </c>
      <c r="L94" s="32">
        <f t="shared" si="27"/>
        <v>-0.64682258445546892</v>
      </c>
      <c r="M94" s="27">
        <f t="shared" si="28"/>
        <v>-65.985799999999998</v>
      </c>
      <c r="N94" s="43"/>
      <c r="O94" s="29"/>
      <c r="P94" s="30"/>
    </row>
    <row r="95" spans="1:16" x14ac:dyDescent="0.2">
      <c r="A95" s="2" t="s">
        <v>183</v>
      </c>
      <c r="B95" s="3"/>
      <c r="C95" s="3"/>
      <c r="D95" s="3"/>
      <c r="E95" s="3"/>
      <c r="F95" s="4"/>
      <c r="G95" s="5"/>
      <c r="H95" s="6"/>
      <c r="I95" s="6"/>
      <c r="J95" s="6"/>
      <c r="K95" s="7"/>
      <c r="L95" s="8" t="s">
        <v>1</v>
      </c>
      <c r="M95" s="9">
        <f>SUM(K97:K130)</f>
        <v>13171.768768473441</v>
      </c>
      <c r="N95" s="10"/>
      <c r="O95" s="11"/>
      <c r="P95" s="12">
        <f>M95/P158</f>
        <v>0.23504401602457267</v>
      </c>
    </row>
    <row r="96" spans="1:16" x14ac:dyDescent="0.2">
      <c r="D96" s="66"/>
      <c r="E96" s="66"/>
      <c r="F96" s="66"/>
      <c r="G96" s="66"/>
      <c r="H96" s="66"/>
      <c r="I96" s="66"/>
      <c r="J96" s="66"/>
      <c r="K96" s="66"/>
      <c r="L96" s="66"/>
      <c r="M96" s="67"/>
      <c r="N96" s="68"/>
      <c r="O96" s="69"/>
      <c r="P96" s="67"/>
    </row>
    <row r="97" spans="1:16" x14ac:dyDescent="0.2">
      <c r="A97" s="19" t="s">
        <v>184</v>
      </c>
      <c r="B97" s="19" t="s">
        <v>185</v>
      </c>
      <c r="C97" s="20">
        <v>44152</v>
      </c>
      <c r="D97" s="19">
        <v>0.09</v>
      </c>
      <c r="E97" s="21">
        <v>1</v>
      </c>
      <c r="F97" s="19">
        <v>8472.34</v>
      </c>
      <c r="G97" s="23">
        <f t="shared" si="0"/>
        <v>762.51059999999995</v>
      </c>
      <c r="H97" s="49">
        <f>[1]crypto!C2</f>
        <v>35600.114800000003</v>
      </c>
      <c r="I97" s="19">
        <v>0</v>
      </c>
      <c r="J97" s="21">
        <v>1</v>
      </c>
      <c r="K97" s="23">
        <f t="shared" ref="K97:K106" si="30">((H97+I97)/J97)*D97</f>
        <v>3204.0103320000003</v>
      </c>
      <c r="L97" s="26">
        <f t="shared" ref="L97:L103" si="31">(K97-G97)/G97+1</f>
        <v>4.2019223496696316</v>
      </c>
      <c r="M97" s="70"/>
      <c r="N97" s="71"/>
      <c r="O97" s="29" t="s">
        <v>186</v>
      </c>
      <c r="P97" s="72">
        <v>1</v>
      </c>
    </row>
    <row r="98" spans="1:16" x14ac:dyDescent="0.2">
      <c r="A98" s="73" t="s">
        <v>187</v>
      </c>
      <c r="B98" s="73" t="s">
        <v>45</v>
      </c>
      <c r="C98" s="74">
        <v>43187</v>
      </c>
      <c r="D98" s="19">
        <v>22</v>
      </c>
      <c r="E98" s="21">
        <v>1.24</v>
      </c>
      <c r="F98" s="75">
        <v>12.22</v>
      </c>
      <c r="G98" s="23">
        <f t="shared" si="0"/>
        <v>216.80645161290326</v>
      </c>
      <c r="H98" s="47">
        <f>'[1]auto data'!S6</f>
        <v>11.66</v>
      </c>
      <c r="I98" s="25">
        <v>0</v>
      </c>
      <c r="J98" s="21">
        <f>C153</f>
        <v>1.1325028312570782</v>
      </c>
      <c r="K98" s="23">
        <f t="shared" si="30"/>
        <v>226.50716</v>
      </c>
      <c r="L98" s="26">
        <f t="shared" si="31"/>
        <v>1.0447436333878886</v>
      </c>
      <c r="M98" s="70"/>
      <c r="N98" s="71"/>
      <c r="O98" s="76" t="s">
        <v>188</v>
      </c>
      <c r="P98" s="72">
        <v>3</v>
      </c>
    </row>
    <row r="99" spans="1:16" x14ac:dyDescent="0.2">
      <c r="A99" s="19" t="s">
        <v>189</v>
      </c>
      <c r="B99" s="19" t="s">
        <v>190</v>
      </c>
      <c r="C99" s="20">
        <v>43102</v>
      </c>
      <c r="D99" s="77">
        <v>8</v>
      </c>
      <c r="E99" s="78">
        <v>1.24</v>
      </c>
      <c r="F99" s="25">
        <v>150</v>
      </c>
      <c r="G99" s="23">
        <f t="shared" ref="G99:G117" si="32">(F99*D99)/E99</f>
        <v>967.74193548387098</v>
      </c>
      <c r="H99" s="47">
        <f>'[1]auto data'!S8</f>
        <v>147.77000000000001</v>
      </c>
      <c r="I99" s="79">
        <f>[1]Dividend!P14</f>
        <v>4.1300000000000008</v>
      </c>
      <c r="J99" s="78">
        <f>C153</f>
        <v>1.1325028312570782</v>
      </c>
      <c r="K99" s="80">
        <f t="shared" si="30"/>
        <v>1073.0216</v>
      </c>
      <c r="L99" s="26">
        <f t="shared" si="31"/>
        <v>1.1087889866666667</v>
      </c>
      <c r="M99" s="70">
        <f>148.45*(1-N99)</f>
        <v>111.33749999999999</v>
      </c>
      <c r="N99" s="71">
        <v>0.25</v>
      </c>
      <c r="O99" s="76" t="s">
        <v>188</v>
      </c>
      <c r="P99" s="72">
        <v>5</v>
      </c>
    </row>
    <row r="100" spans="1:16" x14ac:dyDescent="0.2">
      <c r="A100" s="19" t="s">
        <v>191</v>
      </c>
      <c r="B100" s="19" t="s">
        <v>19</v>
      </c>
      <c r="C100" s="20">
        <v>43102</v>
      </c>
      <c r="D100" s="77">
        <v>50</v>
      </c>
      <c r="E100" s="78">
        <v>1.24</v>
      </c>
      <c r="F100" s="19">
        <v>5.03</v>
      </c>
      <c r="G100" s="23">
        <f t="shared" si="32"/>
        <v>202.82258064516128</v>
      </c>
      <c r="H100" s="47">
        <f>'[1]auto data'!S9</f>
        <v>6.82</v>
      </c>
      <c r="I100" s="79">
        <v>0</v>
      </c>
      <c r="J100" s="78">
        <f>C153</f>
        <v>1.1325028312570782</v>
      </c>
      <c r="K100" s="81">
        <f t="shared" si="30"/>
        <v>301.10300000000001</v>
      </c>
      <c r="L100" s="26">
        <f t="shared" si="31"/>
        <v>1.4845634990059644</v>
      </c>
      <c r="M100" s="70"/>
      <c r="N100" s="71"/>
      <c r="O100" s="76" t="s">
        <v>188</v>
      </c>
      <c r="P100" s="72">
        <v>6</v>
      </c>
    </row>
    <row r="101" spans="1:16" x14ac:dyDescent="0.2">
      <c r="A101" s="19" t="s">
        <v>192</v>
      </c>
      <c r="B101" s="19" t="s">
        <v>193</v>
      </c>
      <c r="C101" s="20">
        <v>43683</v>
      </c>
      <c r="D101" s="77">
        <v>33</v>
      </c>
      <c r="E101" s="78">
        <v>1.49</v>
      </c>
      <c r="F101" s="19">
        <v>4.6399999999999997</v>
      </c>
      <c r="G101" s="23">
        <f t="shared" si="32"/>
        <v>102.76510067114093</v>
      </c>
      <c r="H101" s="47">
        <f>'[1]auto data'!S10</f>
        <v>7</v>
      </c>
      <c r="I101" s="79">
        <f>[1]Dividend!P34</f>
        <v>4.9000000000000009E-2</v>
      </c>
      <c r="J101" s="78">
        <f>C154</f>
        <v>1.4442518775274407</v>
      </c>
      <c r="K101" s="81">
        <f t="shared" si="30"/>
        <v>161.06401080000003</v>
      </c>
      <c r="L101" s="26">
        <f t="shared" si="31"/>
        <v>1.567302612931035</v>
      </c>
      <c r="M101" s="70"/>
      <c r="N101" s="71"/>
      <c r="O101" s="76" t="s">
        <v>188</v>
      </c>
      <c r="P101" s="72">
        <v>7</v>
      </c>
    </row>
    <row r="102" spans="1:16" x14ac:dyDescent="0.2">
      <c r="A102" s="61" t="s">
        <v>194</v>
      </c>
      <c r="B102" s="19" t="s">
        <v>195</v>
      </c>
      <c r="C102" s="20">
        <v>44155</v>
      </c>
      <c r="D102" s="19">
        <v>1</v>
      </c>
      <c r="E102" s="21">
        <v>1</v>
      </c>
      <c r="F102" s="19">
        <v>212</v>
      </c>
      <c r="G102" s="23">
        <f t="shared" si="32"/>
        <v>212</v>
      </c>
      <c r="H102" s="49">
        <f>[1]crypto!C3</f>
        <v>2483.9029999999998</v>
      </c>
      <c r="I102" s="19">
        <v>0</v>
      </c>
      <c r="J102" s="21">
        <v>1</v>
      </c>
      <c r="K102" s="23">
        <f t="shared" si="30"/>
        <v>2483.9029999999998</v>
      </c>
      <c r="L102" s="26">
        <f t="shared" si="31"/>
        <v>11.716523584905659</v>
      </c>
      <c r="M102" s="70"/>
      <c r="N102" s="71"/>
      <c r="O102" s="29" t="s">
        <v>186</v>
      </c>
      <c r="P102" s="72">
        <v>2</v>
      </c>
    </row>
    <row r="103" spans="1:16" x14ac:dyDescent="0.2">
      <c r="A103" s="19" t="s">
        <v>196</v>
      </c>
      <c r="B103" s="19" t="s">
        <v>197</v>
      </c>
      <c r="C103" s="20">
        <v>43994</v>
      </c>
      <c r="D103" s="19">
        <v>45</v>
      </c>
      <c r="E103" s="21">
        <v>1.1255999999999999</v>
      </c>
      <c r="F103" s="22">
        <v>5</v>
      </c>
      <c r="G103" s="23">
        <f t="shared" si="32"/>
        <v>199.89339019189768</v>
      </c>
      <c r="H103" s="41">
        <f>'[1]auto data'!S11</f>
        <v>4.28</v>
      </c>
      <c r="I103" s="19">
        <v>0</v>
      </c>
      <c r="J103" s="21">
        <f>C153</f>
        <v>1.1325028312570782</v>
      </c>
      <c r="K103" s="23">
        <f t="shared" si="30"/>
        <v>170.0658</v>
      </c>
      <c r="L103" s="26">
        <f t="shared" si="31"/>
        <v>0.85078250879999984</v>
      </c>
      <c r="M103" s="70"/>
      <c r="N103" s="71"/>
      <c r="O103" s="29" t="s">
        <v>188</v>
      </c>
      <c r="P103" s="72">
        <v>8</v>
      </c>
    </row>
    <row r="104" spans="1:16" x14ac:dyDescent="0.2">
      <c r="A104" s="19" t="s">
        <v>198</v>
      </c>
      <c r="B104" s="19" t="s">
        <v>199</v>
      </c>
      <c r="C104" s="20">
        <v>44185</v>
      </c>
      <c r="D104" s="19">
        <v>175</v>
      </c>
      <c r="E104" s="21">
        <v>1</v>
      </c>
      <c r="F104" s="21">
        <v>0.3</v>
      </c>
      <c r="G104" s="23">
        <f t="shared" si="32"/>
        <v>52.5</v>
      </c>
      <c r="H104" s="65">
        <f>[1]crypto!C19</f>
        <v>0.34928439</v>
      </c>
      <c r="I104" s="19">
        <v>0</v>
      </c>
      <c r="J104" s="21">
        <v>1</v>
      </c>
      <c r="K104" s="23">
        <f t="shared" si="30"/>
        <v>61.124768250000002</v>
      </c>
      <c r="L104" s="26">
        <f>(K104-G104)/G104+1</f>
        <v>1.1642813000000001</v>
      </c>
      <c r="M104" s="70"/>
      <c r="N104" s="71"/>
      <c r="O104" s="29" t="s">
        <v>200</v>
      </c>
      <c r="P104" s="72">
        <v>1</v>
      </c>
    </row>
    <row r="105" spans="1:16" x14ac:dyDescent="0.2">
      <c r="A105" s="19" t="s">
        <v>201</v>
      </c>
      <c r="B105" s="19" t="s">
        <v>202</v>
      </c>
      <c r="C105" s="20">
        <v>44077</v>
      </c>
      <c r="D105" s="19">
        <v>350</v>
      </c>
      <c r="E105" s="21">
        <v>1.55</v>
      </c>
      <c r="F105" s="22">
        <v>0.48499999999999999</v>
      </c>
      <c r="G105" s="23">
        <f t="shared" si="32"/>
        <v>109.51612903225806</v>
      </c>
      <c r="H105" s="24">
        <f>'[1]auto data'!S12</f>
        <v>0.51</v>
      </c>
      <c r="I105" s="19">
        <v>0</v>
      </c>
      <c r="J105" s="21">
        <f>C154</f>
        <v>1.4442518775274407</v>
      </c>
      <c r="K105" s="23">
        <f t="shared" si="30"/>
        <v>123.59340000000002</v>
      </c>
      <c r="L105" s="26">
        <f>(K105-G105)/G105+1</f>
        <v>1.1285406185567011</v>
      </c>
      <c r="M105" s="70"/>
      <c r="N105" s="71"/>
      <c r="O105" s="82" t="s">
        <v>203</v>
      </c>
      <c r="P105" s="72">
        <v>1</v>
      </c>
    </row>
    <row r="106" spans="1:16" x14ac:dyDescent="0.2">
      <c r="A106" s="19" t="s">
        <v>204</v>
      </c>
      <c r="B106" s="19" t="s">
        <v>205</v>
      </c>
      <c r="C106" s="20">
        <v>44186</v>
      </c>
      <c r="D106" s="19">
        <v>375</v>
      </c>
      <c r="E106" s="21">
        <v>1</v>
      </c>
      <c r="F106" s="62">
        <v>0.13500000000000001</v>
      </c>
      <c r="G106" s="23">
        <f t="shared" si="32"/>
        <v>50.625</v>
      </c>
      <c r="H106" s="63">
        <f>[1]crypto!C20</f>
        <v>0.17530000000000001</v>
      </c>
      <c r="I106" s="19">
        <v>0</v>
      </c>
      <c r="J106" s="21">
        <v>1</v>
      </c>
      <c r="K106" s="23">
        <f t="shared" si="30"/>
        <v>65.737500000000011</v>
      </c>
      <c r="L106" s="26">
        <f>(K106-G106)/G106+1</f>
        <v>1.2985185185185188</v>
      </c>
      <c r="M106" s="70"/>
      <c r="N106" s="71"/>
      <c r="O106" s="82" t="s">
        <v>200</v>
      </c>
      <c r="P106" s="72">
        <v>2</v>
      </c>
    </row>
    <row r="107" spans="1:16" x14ac:dyDescent="0.2">
      <c r="A107" s="19" t="s">
        <v>206</v>
      </c>
      <c r="B107" s="19" t="s">
        <v>207</v>
      </c>
      <c r="C107" s="20">
        <v>44189</v>
      </c>
      <c r="D107" s="19">
        <v>138</v>
      </c>
      <c r="E107" s="21">
        <v>1</v>
      </c>
      <c r="F107" s="62">
        <v>0.25290000000000001</v>
      </c>
      <c r="G107" s="23">
        <f t="shared" si="32"/>
        <v>34.900200000000005</v>
      </c>
      <c r="H107" s="63">
        <f>[1]crypto!C21</f>
        <v>0.75294309999999998</v>
      </c>
      <c r="I107" s="21">
        <v>2.4759000000000002</v>
      </c>
      <c r="J107" s="21">
        <v>1</v>
      </c>
      <c r="K107" s="23">
        <f>((H107/J107)*(D107+I107))</f>
        <v>105.77035962129</v>
      </c>
      <c r="L107" s="26">
        <f t="shared" ref="L107:L124" si="33">(K107-G107)/G107</f>
        <v>2.0306519624898991</v>
      </c>
      <c r="M107" s="70"/>
      <c r="N107" s="71"/>
      <c r="O107" s="82" t="s">
        <v>200</v>
      </c>
      <c r="P107" s="72">
        <v>3</v>
      </c>
    </row>
    <row r="108" spans="1:16" x14ac:dyDescent="0.2">
      <c r="A108" s="19" t="s">
        <v>208</v>
      </c>
      <c r="B108" s="19" t="s">
        <v>45</v>
      </c>
      <c r="C108" s="20">
        <v>44033</v>
      </c>
      <c r="D108" s="19">
        <v>39</v>
      </c>
      <c r="E108" s="21">
        <v>1.1000000000000001</v>
      </c>
      <c r="F108" s="22">
        <v>8.92</v>
      </c>
      <c r="G108" s="23">
        <f t="shared" si="32"/>
        <v>316.25454545454545</v>
      </c>
      <c r="H108" s="24">
        <f>H98</f>
        <v>11.66</v>
      </c>
      <c r="I108" s="25">
        <f>[1]Dividend!P8</f>
        <v>1.6E-2</v>
      </c>
      <c r="J108" s="19">
        <v>1.2079</v>
      </c>
      <c r="K108" s="23">
        <f t="shared" ref="K108:K124" si="34">((H108+I108)/J108)*D108</f>
        <v>376.98816127162848</v>
      </c>
      <c r="L108" s="26">
        <f t="shared" si="33"/>
        <v>0.19204029377598983</v>
      </c>
      <c r="M108" s="70"/>
      <c r="N108" s="71"/>
      <c r="O108" s="29" t="s">
        <v>209</v>
      </c>
      <c r="P108" s="83">
        <v>8</v>
      </c>
    </row>
    <row r="109" spans="1:16" x14ac:dyDescent="0.2">
      <c r="A109" s="19" t="s">
        <v>210</v>
      </c>
      <c r="B109" s="19" t="s">
        <v>211</v>
      </c>
      <c r="C109" s="20">
        <v>44206</v>
      </c>
      <c r="D109" s="19">
        <v>0.5</v>
      </c>
      <c r="E109" s="21">
        <v>1</v>
      </c>
      <c r="F109" s="25">
        <v>161.22999999999999</v>
      </c>
      <c r="G109" s="23">
        <f t="shared" si="32"/>
        <v>80.614999999999995</v>
      </c>
      <c r="H109" s="63">
        <f>[1]crypto!C22</f>
        <v>101.96113074204951</v>
      </c>
      <c r="I109" s="19">
        <v>0</v>
      </c>
      <c r="J109" s="21">
        <v>1</v>
      </c>
      <c r="K109" s="23">
        <f t="shared" si="34"/>
        <v>50.980565371024753</v>
      </c>
      <c r="L109" s="26">
        <f t="shared" si="33"/>
        <v>-0.36760447347237168</v>
      </c>
      <c r="M109" s="70"/>
      <c r="N109" s="71"/>
      <c r="O109" s="82" t="s">
        <v>200</v>
      </c>
      <c r="P109" s="72">
        <v>4</v>
      </c>
    </row>
    <row r="110" spans="1:16" x14ac:dyDescent="0.2">
      <c r="A110" s="19" t="s">
        <v>212</v>
      </c>
      <c r="B110" s="19" t="s">
        <v>213</v>
      </c>
      <c r="C110" s="20">
        <v>44185</v>
      </c>
      <c r="D110" s="19">
        <v>4.5</v>
      </c>
      <c r="E110" s="21">
        <v>1</v>
      </c>
      <c r="F110" s="25">
        <v>10.95</v>
      </c>
      <c r="G110" s="23">
        <f t="shared" si="32"/>
        <v>49.274999999999999</v>
      </c>
      <c r="H110" s="63">
        <f>[1]crypto!C23</f>
        <v>12.95</v>
      </c>
      <c r="I110" s="19">
        <v>0</v>
      </c>
      <c r="J110" s="21">
        <v>1</v>
      </c>
      <c r="K110" s="23">
        <f t="shared" si="34"/>
        <v>58.274999999999999</v>
      </c>
      <c r="L110" s="26">
        <f t="shared" si="33"/>
        <v>0.18264840182648404</v>
      </c>
      <c r="M110" s="70"/>
      <c r="N110" s="71"/>
      <c r="O110" s="82" t="s">
        <v>200</v>
      </c>
      <c r="P110" s="72">
        <v>5</v>
      </c>
    </row>
    <row r="111" spans="1:16" x14ac:dyDescent="0.2">
      <c r="A111" s="19" t="s">
        <v>214</v>
      </c>
      <c r="B111" s="19" t="s">
        <v>215</v>
      </c>
      <c r="C111" s="20">
        <v>44197</v>
      </c>
      <c r="D111" s="19">
        <v>10</v>
      </c>
      <c r="E111" s="21">
        <v>1</v>
      </c>
      <c r="F111" s="62">
        <v>4.95</v>
      </c>
      <c r="G111" s="23">
        <f t="shared" si="32"/>
        <v>49.5</v>
      </c>
      <c r="H111" s="63">
        <f>[1]crypto!C24</f>
        <v>22.870757000000001</v>
      </c>
      <c r="I111" s="19">
        <v>9.8599999999999993E-2</v>
      </c>
      <c r="J111" s="21">
        <v>1</v>
      </c>
      <c r="K111" s="23">
        <f>((H111+I111)/J111)*D111</f>
        <v>229.69357000000002</v>
      </c>
      <c r="L111" s="26">
        <f t="shared" si="33"/>
        <v>3.640274141414142</v>
      </c>
      <c r="M111" s="70"/>
      <c r="N111" s="71"/>
      <c r="O111" s="82" t="s">
        <v>200</v>
      </c>
      <c r="P111" s="72">
        <v>6</v>
      </c>
    </row>
    <row r="112" spans="1:16" x14ac:dyDescent="0.2">
      <c r="A112" s="19" t="s">
        <v>216</v>
      </c>
      <c r="B112" s="19" t="s">
        <v>217</v>
      </c>
      <c r="C112" s="20">
        <v>43102</v>
      </c>
      <c r="D112" s="19">
        <v>275</v>
      </c>
      <c r="E112" s="21">
        <v>1.51</v>
      </c>
      <c r="F112" s="22">
        <v>2.1800000000000002</v>
      </c>
      <c r="G112" s="23">
        <f t="shared" si="32"/>
        <v>397.01986754966885</v>
      </c>
      <c r="H112" s="47">
        <f>'[1]auto data'!S14</f>
        <v>4.1500000000000004</v>
      </c>
      <c r="I112" s="19">
        <v>0</v>
      </c>
      <c r="J112" s="21">
        <f>C154</f>
        <v>1.4442518775274407</v>
      </c>
      <c r="K112" s="23">
        <f t="shared" si="34"/>
        <v>790.20150000000012</v>
      </c>
      <c r="L112" s="26">
        <f t="shared" si="33"/>
        <v>0.99033238532110135</v>
      </c>
      <c r="M112" s="70"/>
      <c r="N112" s="71"/>
      <c r="O112" s="29" t="s">
        <v>218</v>
      </c>
      <c r="P112" s="72">
        <v>1</v>
      </c>
    </row>
    <row r="113" spans="1:16" x14ac:dyDescent="0.2">
      <c r="A113" s="19" t="s">
        <v>219</v>
      </c>
      <c r="B113" s="19" t="s">
        <v>220</v>
      </c>
      <c r="C113" s="20">
        <v>43822</v>
      </c>
      <c r="D113" s="19">
        <v>190</v>
      </c>
      <c r="E113" s="21">
        <v>1.51</v>
      </c>
      <c r="F113" s="22">
        <v>1.18</v>
      </c>
      <c r="G113" s="23">
        <f t="shared" si="32"/>
        <v>148.47682119205297</v>
      </c>
      <c r="H113" s="47">
        <f>'[1]auto data'!T15</f>
        <v>3.9278451761987285</v>
      </c>
      <c r="I113" s="19">
        <v>0</v>
      </c>
      <c r="J113" s="21">
        <f>C154</f>
        <v>1.4442518775274407</v>
      </c>
      <c r="K113" s="23">
        <f t="shared" si="34"/>
        <v>516.73159999999996</v>
      </c>
      <c r="L113" s="26">
        <f t="shared" si="33"/>
        <v>2.4802172881355933</v>
      </c>
      <c r="M113" s="70"/>
      <c r="N113" s="71"/>
      <c r="O113" s="29" t="s">
        <v>218</v>
      </c>
      <c r="P113" s="72">
        <v>2</v>
      </c>
    </row>
    <row r="114" spans="1:16" x14ac:dyDescent="0.2">
      <c r="A114" s="19" t="s">
        <v>221</v>
      </c>
      <c r="B114" s="19" t="s">
        <v>222</v>
      </c>
      <c r="C114" s="20">
        <v>44238</v>
      </c>
      <c r="D114" s="19">
        <v>0.4</v>
      </c>
      <c r="E114" s="21">
        <v>1</v>
      </c>
      <c r="F114" s="62">
        <v>120.94</v>
      </c>
      <c r="G114" s="23">
        <f t="shared" si="32"/>
        <v>48.376000000000005</v>
      </c>
      <c r="H114" s="63">
        <f>[1]crypto!C25</f>
        <v>85.118761000000006</v>
      </c>
      <c r="I114" s="19">
        <v>0</v>
      </c>
      <c r="J114" s="21">
        <v>1</v>
      </c>
      <c r="K114" s="23">
        <f t="shared" si="34"/>
        <v>34.047504400000001</v>
      </c>
      <c r="L114" s="26">
        <f t="shared" si="33"/>
        <v>-0.2961901686786837</v>
      </c>
      <c r="M114" s="70"/>
      <c r="N114" s="71"/>
      <c r="O114" s="29" t="s">
        <v>200</v>
      </c>
      <c r="P114" s="72">
        <v>7</v>
      </c>
    </row>
    <row r="115" spans="1:16" x14ac:dyDescent="0.2">
      <c r="A115" s="19" t="s">
        <v>223</v>
      </c>
      <c r="B115" s="19" t="s">
        <v>115</v>
      </c>
      <c r="C115" s="20">
        <v>43374</v>
      </c>
      <c r="D115" s="19">
        <v>700</v>
      </c>
      <c r="E115" s="21">
        <v>1.1499999999999999</v>
      </c>
      <c r="F115" s="22">
        <v>0.66</v>
      </c>
      <c r="G115" s="23">
        <f t="shared" si="32"/>
        <v>401.73913043478262</v>
      </c>
      <c r="H115" s="47">
        <f>'[1]auto data'!S16</f>
        <v>1.1599999999999999</v>
      </c>
      <c r="I115" s="19">
        <v>0</v>
      </c>
      <c r="J115" s="19">
        <v>1.2088000000000001</v>
      </c>
      <c r="K115" s="23">
        <f t="shared" si="34"/>
        <v>671.74056915949689</v>
      </c>
      <c r="L115" s="26">
        <f t="shared" si="33"/>
        <v>0.67208150331909389</v>
      </c>
      <c r="M115" s="70"/>
      <c r="N115" s="71"/>
      <c r="O115" s="29" t="s">
        <v>218</v>
      </c>
      <c r="P115" s="72">
        <v>3</v>
      </c>
    </row>
    <row r="116" spans="1:16" x14ac:dyDescent="0.2">
      <c r="A116" s="19" t="s">
        <v>224</v>
      </c>
      <c r="B116" s="19" t="s">
        <v>225</v>
      </c>
      <c r="C116" s="20">
        <v>43854</v>
      </c>
      <c r="D116" s="19">
        <v>50</v>
      </c>
      <c r="E116" s="21">
        <v>1.46</v>
      </c>
      <c r="F116" s="19">
        <v>3.71</v>
      </c>
      <c r="G116" s="23">
        <f t="shared" si="32"/>
        <v>127.05479452054794</v>
      </c>
      <c r="H116" s="47">
        <f>'[1]auto data'!S17</f>
        <v>11.12</v>
      </c>
      <c r="I116" s="19">
        <v>0</v>
      </c>
      <c r="J116" s="21">
        <f>C154</f>
        <v>1.4442518775274407</v>
      </c>
      <c r="K116" s="23">
        <f t="shared" si="34"/>
        <v>384.9744</v>
      </c>
      <c r="L116" s="26">
        <f t="shared" si="33"/>
        <v>2.029987191374663</v>
      </c>
      <c r="M116" s="70">
        <f>10.03*(1-N116)</f>
        <v>7.5224999999999991</v>
      </c>
      <c r="N116" s="71">
        <v>0.25</v>
      </c>
      <c r="O116" s="29" t="s">
        <v>226</v>
      </c>
      <c r="P116" s="83">
        <v>2</v>
      </c>
    </row>
    <row r="117" spans="1:16" x14ac:dyDescent="0.2">
      <c r="A117" s="19" t="s">
        <v>227</v>
      </c>
      <c r="B117" s="19" t="s">
        <v>117</v>
      </c>
      <c r="C117" s="20">
        <v>44229</v>
      </c>
      <c r="D117" s="19">
        <v>75</v>
      </c>
      <c r="E117" s="21">
        <v>1.2022999999999999</v>
      </c>
      <c r="F117" s="22">
        <v>1.74</v>
      </c>
      <c r="G117" s="23">
        <f t="shared" si="32"/>
        <v>108.54196124095485</v>
      </c>
      <c r="H117" s="47">
        <f>'[1]auto data'!S18</f>
        <v>2.88</v>
      </c>
      <c r="I117" s="19">
        <v>0</v>
      </c>
      <c r="J117" s="21">
        <f>C153</f>
        <v>1.1325028312570782</v>
      </c>
      <c r="K117" s="23">
        <f t="shared" si="34"/>
        <v>190.72800000000001</v>
      </c>
      <c r="L117" s="26">
        <f t="shared" si="33"/>
        <v>0.75718217931034471</v>
      </c>
      <c r="M117" s="27"/>
      <c r="N117" s="28"/>
      <c r="O117" s="29" t="s">
        <v>218</v>
      </c>
      <c r="P117" s="72">
        <v>4</v>
      </c>
    </row>
    <row r="118" spans="1:16" x14ac:dyDescent="0.2">
      <c r="A118" s="19" t="s">
        <v>228</v>
      </c>
      <c r="B118" s="19" t="s">
        <v>229</v>
      </c>
      <c r="C118" s="20">
        <v>44243</v>
      </c>
      <c r="D118" s="19">
        <v>0.7</v>
      </c>
      <c r="E118" s="21">
        <v>1</v>
      </c>
      <c r="F118" s="62">
        <v>35.270000000000003</v>
      </c>
      <c r="G118" s="23">
        <f>(F118*D118)/E118</f>
        <v>24.689</v>
      </c>
      <c r="H118" s="63">
        <f>[1]crypto!C26</f>
        <v>17.530422000000002</v>
      </c>
      <c r="I118" s="19">
        <v>0</v>
      </c>
      <c r="J118" s="21">
        <v>1</v>
      </c>
      <c r="K118" s="23">
        <f t="shared" si="34"/>
        <v>12.2712954</v>
      </c>
      <c r="L118" s="26">
        <f t="shared" si="33"/>
        <v>-0.50296506946413388</v>
      </c>
      <c r="M118" s="27"/>
      <c r="N118" s="28"/>
      <c r="O118" s="29" t="s">
        <v>200</v>
      </c>
      <c r="P118" s="72">
        <v>8</v>
      </c>
    </row>
    <row r="119" spans="1:16" x14ac:dyDescent="0.2">
      <c r="A119" s="19" t="s">
        <v>230</v>
      </c>
      <c r="B119" s="19" t="s">
        <v>231</v>
      </c>
      <c r="C119" s="20">
        <v>44202</v>
      </c>
      <c r="D119" s="19">
        <v>0.4</v>
      </c>
      <c r="E119" s="21">
        <v>1</v>
      </c>
      <c r="F119" s="62">
        <v>135</v>
      </c>
      <c r="G119" s="23">
        <f>(F119*D119)/E119</f>
        <v>54</v>
      </c>
      <c r="H119" s="49">
        <f>[1]crypto!C4</f>
        <v>103.08159999999999</v>
      </c>
      <c r="I119" s="19">
        <v>0</v>
      </c>
      <c r="J119" s="21">
        <v>1</v>
      </c>
      <c r="K119" s="23">
        <f t="shared" si="34"/>
        <v>41.232640000000004</v>
      </c>
      <c r="L119" s="26">
        <f t="shared" si="33"/>
        <v>-0.23643259259259253</v>
      </c>
      <c r="M119" s="27"/>
      <c r="N119" s="28"/>
      <c r="O119" s="29" t="s">
        <v>200</v>
      </c>
      <c r="P119" s="72">
        <v>9</v>
      </c>
    </row>
    <row r="120" spans="1:16" x14ac:dyDescent="0.2">
      <c r="A120" s="19" t="s">
        <v>232</v>
      </c>
      <c r="B120" s="19" t="s">
        <v>233</v>
      </c>
      <c r="C120" s="20">
        <v>44277</v>
      </c>
      <c r="D120" s="19">
        <v>0.11</v>
      </c>
      <c r="E120" s="21">
        <v>1</v>
      </c>
      <c r="F120" s="62">
        <v>439</v>
      </c>
      <c r="G120" s="23">
        <f>(F120*D120)/E120</f>
        <v>48.29</v>
      </c>
      <c r="H120" s="49">
        <f>[1]crypto!C5</f>
        <v>277.916</v>
      </c>
      <c r="I120" s="19">
        <v>0</v>
      </c>
      <c r="J120" s="21">
        <v>1</v>
      </c>
      <c r="K120" s="23">
        <f t="shared" si="34"/>
        <v>30.57076</v>
      </c>
      <c r="L120" s="26">
        <f t="shared" si="33"/>
        <v>-0.36693394077448749</v>
      </c>
      <c r="M120" s="27"/>
      <c r="N120" s="28"/>
      <c r="O120" s="29" t="s">
        <v>200</v>
      </c>
      <c r="P120" s="72">
        <v>10</v>
      </c>
    </row>
    <row r="121" spans="1:16" x14ac:dyDescent="0.2">
      <c r="A121" s="19" t="s">
        <v>234</v>
      </c>
      <c r="B121" s="19" t="s">
        <v>235</v>
      </c>
      <c r="C121" s="20">
        <v>43874</v>
      </c>
      <c r="D121" s="19">
        <v>300</v>
      </c>
      <c r="E121" s="21">
        <v>1.44</v>
      </c>
      <c r="F121" s="19">
        <v>0.37</v>
      </c>
      <c r="G121" s="23">
        <f>(F121*D121)/E121</f>
        <v>77.083333333333343</v>
      </c>
      <c r="H121" s="49">
        <f>'[1]auto data'!P3</f>
        <v>0.43</v>
      </c>
      <c r="I121" s="19">
        <v>0</v>
      </c>
      <c r="J121" s="21">
        <f>C154</f>
        <v>1.4442518775274407</v>
      </c>
      <c r="K121" s="23">
        <f t="shared" si="34"/>
        <v>89.319599999999994</v>
      </c>
      <c r="L121" s="26">
        <f t="shared" si="33"/>
        <v>0.15874075675675653</v>
      </c>
      <c r="M121" s="27"/>
      <c r="N121" s="28"/>
      <c r="O121" s="29" t="s">
        <v>226</v>
      </c>
      <c r="P121" s="72">
        <v>3</v>
      </c>
    </row>
    <row r="122" spans="1:16" x14ac:dyDescent="0.2">
      <c r="A122" s="19" t="s">
        <v>236</v>
      </c>
      <c r="B122" s="19" t="s">
        <v>237</v>
      </c>
      <c r="C122" s="20">
        <v>44294</v>
      </c>
      <c r="D122" s="19">
        <v>50</v>
      </c>
      <c r="E122" s="21">
        <v>1</v>
      </c>
      <c r="F122" s="62">
        <v>1.03</v>
      </c>
      <c r="G122" s="23">
        <f>(F122*D122)/E122</f>
        <v>51.5</v>
      </c>
      <c r="H122" s="63">
        <f>[1]crypto!C6</f>
        <v>0.83399999999999996</v>
      </c>
      <c r="I122" s="19">
        <v>0</v>
      </c>
      <c r="J122" s="21">
        <v>1</v>
      </c>
      <c r="K122" s="23">
        <f t="shared" si="34"/>
        <v>41.699999999999996</v>
      </c>
      <c r="L122" s="26">
        <f t="shared" si="33"/>
        <v>-0.1902912621359224</v>
      </c>
      <c r="M122" s="27"/>
      <c r="N122" s="28"/>
      <c r="O122" s="29" t="s">
        <v>200</v>
      </c>
      <c r="P122" s="72">
        <v>11</v>
      </c>
    </row>
    <row r="123" spans="1:16" x14ac:dyDescent="0.2">
      <c r="A123" s="19" t="s">
        <v>238</v>
      </c>
      <c r="B123" s="19" t="s">
        <v>239</v>
      </c>
      <c r="C123" s="20">
        <v>44287</v>
      </c>
      <c r="D123" s="19">
        <v>750</v>
      </c>
      <c r="E123" s="21">
        <v>1.55</v>
      </c>
      <c r="F123" s="22">
        <v>0.37</v>
      </c>
      <c r="G123" s="23">
        <f t="shared" ref="G123:G134" si="35">(F123*D123)/E123</f>
        <v>179.03225806451613</v>
      </c>
      <c r="H123" s="47">
        <f>'[1]auto data'!S19</f>
        <v>0.72499999999999998</v>
      </c>
      <c r="I123" s="19">
        <v>0</v>
      </c>
      <c r="J123" s="21">
        <f>C155</f>
        <v>1.5787811809283234</v>
      </c>
      <c r="K123" s="23">
        <f t="shared" si="34"/>
        <v>344.41125</v>
      </c>
      <c r="L123" s="26">
        <f t="shared" si="33"/>
        <v>0.92373851351351355</v>
      </c>
      <c r="M123" s="27"/>
      <c r="N123" s="28"/>
      <c r="O123" s="29" t="s">
        <v>218</v>
      </c>
      <c r="P123" s="72">
        <v>5</v>
      </c>
    </row>
    <row r="124" spans="1:16" x14ac:dyDescent="0.2">
      <c r="A124" s="19" t="s">
        <v>240</v>
      </c>
      <c r="B124" s="19" t="s">
        <v>241</v>
      </c>
      <c r="C124" s="20">
        <v>44229</v>
      </c>
      <c r="D124" s="19">
        <v>75</v>
      </c>
      <c r="E124" s="21">
        <v>1.55</v>
      </c>
      <c r="F124" s="22">
        <v>2</v>
      </c>
      <c r="G124" s="23">
        <f t="shared" si="35"/>
        <v>96.774193548387089</v>
      </c>
      <c r="H124" s="47">
        <f>'[1]auto data'!M3</f>
        <v>3.33</v>
      </c>
      <c r="I124" s="19">
        <v>0</v>
      </c>
      <c r="J124" s="21">
        <f>C154</f>
        <v>1.4442518775274407</v>
      </c>
      <c r="K124" s="23">
        <f t="shared" si="34"/>
        <v>172.92690000000002</v>
      </c>
      <c r="L124" s="26">
        <f t="shared" si="33"/>
        <v>0.78691130000000031</v>
      </c>
      <c r="M124" s="27"/>
      <c r="N124" s="28"/>
      <c r="O124" s="29" t="s">
        <v>218</v>
      </c>
      <c r="P124" s="72">
        <v>6</v>
      </c>
    </row>
    <row r="125" spans="1:16" x14ac:dyDescent="0.2">
      <c r="A125" s="19" t="s">
        <v>242</v>
      </c>
      <c r="B125" s="19" t="s">
        <v>243</v>
      </c>
      <c r="C125" s="20">
        <v>44321</v>
      </c>
      <c r="D125" s="19">
        <v>2000</v>
      </c>
      <c r="E125" s="21">
        <v>1.5603</v>
      </c>
      <c r="F125" s="22">
        <v>0.14000000000000001</v>
      </c>
      <c r="G125" s="23">
        <f t="shared" si="35"/>
        <v>179.45266935845672</v>
      </c>
      <c r="H125" s="47">
        <f>'[1]auto data'!S20</f>
        <v>0.17</v>
      </c>
      <c r="I125" s="19">
        <v>0</v>
      </c>
      <c r="J125" s="21">
        <f>C155</f>
        <v>1.5787811809283234</v>
      </c>
      <c r="K125" s="23">
        <f>((H125+I125)/J125)*D125</f>
        <v>215.35599999999999</v>
      </c>
      <c r="L125" s="26">
        <f>(K125-G125)/G125</f>
        <v>0.20007130999999989</v>
      </c>
      <c r="M125" s="27"/>
      <c r="N125" s="18"/>
      <c r="O125" s="72" t="s">
        <v>218</v>
      </c>
      <c r="P125" s="72">
        <v>7</v>
      </c>
    </row>
    <row r="126" spans="1:16" x14ac:dyDescent="0.2">
      <c r="A126" s="19" t="s">
        <v>244</v>
      </c>
      <c r="B126" s="19" t="s">
        <v>245</v>
      </c>
      <c r="C126" s="20">
        <v>44281</v>
      </c>
      <c r="D126" s="19">
        <v>2000</v>
      </c>
      <c r="E126" s="21">
        <v>1.55</v>
      </c>
      <c r="F126" s="22">
        <v>0.13</v>
      </c>
      <c r="G126" s="23">
        <f t="shared" si="35"/>
        <v>167.74193548387098</v>
      </c>
      <c r="H126" s="47">
        <f>'[1]auto data'!M7</f>
        <v>0.2</v>
      </c>
      <c r="I126" s="19">
        <v>0</v>
      </c>
      <c r="J126" s="21">
        <f>C155</f>
        <v>1.5787811809283234</v>
      </c>
      <c r="K126" s="23">
        <f t="shared" ref="K126" si="36">((H126+I126)/J126)*D126</f>
        <v>253.35999999999999</v>
      </c>
      <c r="L126" s="26">
        <f t="shared" ref="L126" si="37">(K126-G126)/G126</f>
        <v>0.51041538461538449</v>
      </c>
      <c r="M126" s="27"/>
      <c r="N126" s="18"/>
      <c r="O126" s="72" t="s">
        <v>218</v>
      </c>
      <c r="P126" s="72">
        <v>8</v>
      </c>
    </row>
    <row r="127" spans="1:16" x14ac:dyDescent="0.2">
      <c r="A127" s="19" t="s">
        <v>246</v>
      </c>
      <c r="B127" s="19" t="s">
        <v>247</v>
      </c>
      <c r="C127" s="20">
        <v>44321</v>
      </c>
      <c r="D127" s="19">
        <v>1500</v>
      </c>
      <c r="E127" s="21">
        <v>1.4799</v>
      </c>
      <c r="F127" s="22">
        <v>0.1</v>
      </c>
      <c r="G127" s="23">
        <f t="shared" si="35"/>
        <v>101.35819987837016</v>
      </c>
      <c r="H127" s="47">
        <f>'[1]auto data'!M10</f>
        <v>8.5000000000000006E-2</v>
      </c>
      <c r="I127" s="19">
        <v>0</v>
      </c>
      <c r="J127" s="21">
        <f>C154</f>
        <v>1.4442518775274407</v>
      </c>
      <c r="K127" s="23">
        <f>((H127+I127)/J127)*D127</f>
        <v>88.28100000000002</v>
      </c>
      <c r="L127" s="26">
        <f>(K127-G127)/G127</f>
        <v>-0.12901965399999979</v>
      </c>
      <c r="M127" s="27"/>
      <c r="N127" s="18"/>
      <c r="O127" s="72" t="s">
        <v>218</v>
      </c>
      <c r="P127" s="72">
        <v>9</v>
      </c>
    </row>
    <row r="128" spans="1:16" x14ac:dyDescent="0.2">
      <c r="A128" s="19" t="s">
        <v>248</v>
      </c>
      <c r="B128" s="19" t="s">
        <v>249</v>
      </c>
      <c r="C128" s="20">
        <v>44264</v>
      </c>
      <c r="D128" s="19">
        <v>13.5</v>
      </c>
      <c r="E128" s="21">
        <v>1</v>
      </c>
      <c r="F128" s="62">
        <v>3.72</v>
      </c>
      <c r="G128" s="23">
        <f t="shared" si="35"/>
        <v>50.220000000000006</v>
      </c>
      <c r="H128" s="63">
        <f>[1]crypto!C9</f>
        <v>3.0329571999999998</v>
      </c>
      <c r="I128" s="19">
        <v>0</v>
      </c>
      <c r="J128" s="21">
        <v>1</v>
      </c>
      <c r="K128" s="23">
        <f t="shared" ref="K128:K129" si="38">((H128+I128)/J128)*D128</f>
        <v>40.944922200000001</v>
      </c>
      <c r="L128" s="26">
        <f t="shared" ref="L128:L129" si="39">(K128-G128)/G128</f>
        <v>-0.18468892473118287</v>
      </c>
      <c r="M128" s="27"/>
      <c r="N128" s="18"/>
      <c r="O128" s="72" t="s">
        <v>200</v>
      </c>
      <c r="P128" s="72">
        <v>12</v>
      </c>
    </row>
    <row r="129" spans="1:16" x14ac:dyDescent="0.2">
      <c r="A129" s="19" t="s">
        <v>250</v>
      </c>
      <c r="B129" s="19" t="s">
        <v>251</v>
      </c>
      <c r="C129" s="20">
        <v>44216</v>
      </c>
      <c r="D129" s="19">
        <v>150</v>
      </c>
      <c r="E129" s="21">
        <v>1.55</v>
      </c>
      <c r="F129" s="22">
        <v>1.59</v>
      </c>
      <c r="G129" s="23">
        <f t="shared" si="35"/>
        <v>153.87096774193549</v>
      </c>
      <c r="H129" s="33">
        <f>'[1]auto data'!J36</f>
        <v>2.41</v>
      </c>
      <c r="I129" s="19">
        <v>0</v>
      </c>
      <c r="J129" s="21">
        <f>C154</f>
        <v>1.4442518775274407</v>
      </c>
      <c r="K129" s="23">
        <f t="shared" si="38"/>
        <v>250.30260000000004</v>
      </c>
      <c r="L129" s="26">
        <f t="shared" si="39"/>
        <v>0.62670452830188705</v>
      </c>
      <c r="M129" s="27"/>
      <c r="N129" s="28"/>
      <c r="O129" s="29" t="s">
        <v>203</v>
      </c>
      <c r="P129" s="72">
        <v>2</v>
      </c>
    </row>
    <row r="130" spans="1:16" x14ac:dyDescent="0.2">
      <c r="A130" s="19" t="s">
        <v>252</v>
      </c>
      <c r="B130" s="19" t="s">
        <v>253</v>
      </c>
      <c r="C130" s="20">
        <v>44309</v>
      </c>
      <c r="D130" s="19">
        <v>130</v>
      </c>
      <c r="E130" s="21">
        <v>1</v>
      </c>
      <c r="F130" s="62">
        <v>0.76400000000000001</v>
      </c>
      <c r="G130" s="23">
        <f t="shared" si="35"/>
        <v>99.320000000000007</v>
      </c>
      <c r="H130" s="63">
        <f>[1]crypto!C13</f>
        <v>2.391</v>
      </c>
      <c r="I130" s="19">
        <v>0</v>
      </c>
      <c r="J130" s="21">
        <v>1</v>
      </c>
      <c r="K130" s="23">
        <f>((H130+I130)/J130)*D130</f>
        <v>310.83</v>
      </c>
      <c r="L130" s="26">
        <f>(K130-G130)/G130</f>
        <v>2.1295811518324603</v>
      </c>
      <c r="M130" s="27"/>
      <c r="N130" s="28"/>
      <c r="O130" s="29" t="s">
        <v>200</v>
      </c>
      <c r="P130" s="72">
        <v>12</v>
      </c>
    </row>
    <row r="131" spans="1:16" x14ac:dyDescent="0.2">
      <c r="A131" s="19" t="s">
        <v>254</v>
      </c>
      <c r="B131" s="19" t="s">
        <v>255</v>
      </c>
      <c r="C131" s="20">
        <v>44270</v>
      </c>
      <c r="D131" s="19">
        <v>75</v>
      </c>
      <c r="E131" s="21">
        <v>1.49</v>
      </c>
      <c r="F131" s="22">
        <v>2.19</v>
      </c>
      <c r="G131" s="23">
        <f t="shared" si="35"/>
        <v>110.23489932885906</v>
      </c>
      <c r="H131" s="47">
        <f>'[1]auto data'!M5</f>
        <v>3.39</v>
      </c>
      <c r="I131" s="19">
        <v>0</v>
      </c>
      <c r="J131" s="21">
        <f>C154</f>
        <v>1.4442518775274407</v>
      </c>
      <c r="K131" s="23">
        <f t="shared" ref="K131:K134" si="40">((H131+I131)/J131)*D131</f>
        <v>176.0427</v>
      </c>
      <c r="L131" s="26">
        <f t="shared" ref="L131:L134" si="41">(K131-G131)/G131</f>
        <v>0.59697791780821918</v>
      </c>
      <c r="M131" s="27"/>
      <c r="N131" s="28"/>
      <c r="O131" s="29" t="s">
        <v>218</v>
      </c>
      <c r="P131" s="72">
        <v>10</v>
      </c>
    </row>
    <row r="132" spans="1:16" x14ac:dyDescent="0.2">
      <c r="A132" s="19" t="s">
        <v>256</v>
      </c>
      <c r="B132" s="19" t="s">
        <v>111</v>
      </c>
      <c r="C132" s="20">
        <v>44278</v>
      </c>
      <c r="D132" s="19">
        <v>50</v>
      </c>
      <c r="E132" s="21">
        <v>1.1825000000000001</v>
      </c>
      <c r="F132" s="22">
        <v>4.8099999999999996</v>
      </c>
      <c r="G132" s="23">
        <f t="shared" si="35"/>
        <v>203.38266384778009</v>
      </c>
      <c r="H132" s="47">
        <f>'[1]auto data'!M6</f>
        <v>6.23</v>
      </c>
      <c r="I132" s="19">
        <v>0</v>
      </c>
      <c r="J132" s="21">
        <f>C153</f>
        <v>1.1325028312570782</v>
      </c>
      <c r="K132" s="23">
        <f t="shared" si="40"/>
        <v>275.05450000000002</v>
      </c>
      <c r="L132" s="26">
        <f t="shared" si="41"/>
        <v>0.35239894490644519</v>
      </c>
      <c r="M132" s="27"/>
      <c r="N132" s="28"/>
      <c r="O132" s="29" t="s">
        <v>218</v>
      </c>
      <c r="P132" s="72">
        <v>11</v>
      </c>
    </row>
    <row r="133" spans="1:16" x14ac:dyDescent="0.2">
      <c r="A133" s="19" t="s">
        <v>257</v>
      </c>
      <c r="B133" s="19" t="s">
        <v>113</v>
      </c>
      <c r="C133" s="20">
        <v>44253</v>
      </c>
      <c r="D133" s="19">
        <v>200</v>
      </c>
      <c r="E133" s="21">
        <v>1.52</v>
      </c>
      <c r="F133" s="22">
        <v>1.05</v>
      </c>
      <c r="G133" s="23">
        <f t="shared" si="35"/>
        <v>138.15789473684211</v>
      </c>
      <c r="H133" s="47">
        <f>'[1]auto data'!M4</f>
        <v>1.1850000000000001</v>
      </c>
      <c r="I133" s="19">
        <v>0</v>
      </c>
      <c r="J133" s="21">
        <f>C154</f>
        <v>1.4442518775274407</v>
      </c>
      <c r="K133" s="23">
        <f t="shared" si="40"/>
        <v>164.09880000000001</v>
      </c>
      <c r="L133" s="26">
        <f t="shared" si="41"/>
        <v>0.18776274285714289</v>
      </c>
      <c r="M133" s="27"/>
      <c r="N133" s="84"/>
      <c r="O133" s="29" t="s">
        <v>218</v>
      </c>
      <c r="P133" s="72">
        <v>12</v>
      </c>
    </row>
    <row r="134" spans="1:16" x14ac:dyDescent="0.2">
      <c r="A134" s="19" t="s">
        <v>258</v>
      </c>
      <c r="B134" s="19" t="s">
        <v>259</v>
      </c>
      <c r="C134" s="20">
        <v>44350</v>
      </c>
      <c r="D134" s="19">
        <v>187</v>
      </c>
      <c r="E134" s="21">
        <v>1.57</v>
      </c>
      <c r="F134" s="22">
        <v>1.4</v>
      </c>
      <c r="G134" s="23">
        <f t="shared" si="35"/>
        <v>166.75159235668789</v>
      </c>
      <c r="H134" s="47">
        <f>'[1]auto data'!M12</f>
        <v>2.0699999999999998</v>
      </c>
      <c r="I134" s="19">
        <v>0</v>
      </c>
      <c r="J134" s="21">
        <f>C155</f>
        <v>1.5787811809283234</v>
      </c>
      <c r="K134" s="23">
        <f t="shared" si="40"/>
        <v>245.18280599999997</v>
      </c>
      <c r="L134" s="26">
        <f t="shared" si="41"/>
        <v>0.47034761428571414</v>
      </c>
      <c r="M134" s="27"/>
      <c r="N134" s="28"/>
      <c r="O134" s="29" t="s">
        <v>218</v>
      </c>
      <c r="P134" s="72">
        <v>13</v>
      </c>
    </row>
    <row r="135" spans="1:16" x14ac:dyDescent="0.2">
      <c r="A135" s="85" t="s">
        <v>260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7"/>
    </row>
    <row r="136" spans="1:16" x14ac:dyDescent="0.2">
      <c r="A136" s="88" t="s">
        <v>261</v>
      </c>
      <c r="B136" s="13" t="s">
        <v>262</v>
      </c>
      <c r="C136" s="14" t="s">
        <v>263</v>
      </c>
      <c r="D136" s="13"/>
      <c r="E136" s="89"/>
      <c r="F136" s="90"/>
      <c r="G136" s="91"/>
      <c r="H136" s="92"/>
      <c r="I136" s="13"/>
      <c r="J136" s="89"/>
      <c r="K136" s="91" t="s">
        <v>131</v>
      </c>
      <c r="L136" s="26"/>
      <c r="M136" s="27"/>
      <c r="N136" s="28"/>
      <c r="O136" s="29"/>
      <c r="P136" s="72"/>
    </row>
    <row r="137" spans="1:16" x14ac:dyDescent="0.2">
      <c r="A137" s="13" t="s">
        <v>264</v>
      </c>
      <c r="B137" s="19"/>
      <c r="C137" s="20"/>
      <c r="D137" s="77"/>
      <c r="E137" s="78"/>
      <c r="F137" s="19"/>
      <c r="G137" s="38"/>
      <c r="H137" s="25"/>
      <c r="I137" s="79"/>
      <c r="J137" s="78"/>
      <c r="K137" s="23">
        <v>8467</v>
      </c>
      <c r="L137" s="93"/>
      <c r="M137" s="72"/>
      <c r="N137" s="28"/>
      <c r="O137" s="29"/>
      <c r="P137" s="72"/>
    </row>
    <row r="138" spans="1:16" x14ac:dyDescent="0.2">
      <c r="A138" s="13" t="s">
        <v>265</v>
      </c>
      <c r="B138" s="19"/>
      <c r="C138" s="20"/>
      <c r="D138" s="77"/>
      <c r="E138" s="78"/>
      <c r="F138" s="19"/>
      <c r="G138" s="62"/>
      <c r="H138" s="25"/>
      <c r="I138" s="79"/>
      <c r="J138" s="78"/>
      <c r="K138" s="23">
        <v>10556</v>
      </c>
      <c r="L138" s="93"/>
      <c r="M138" s="72"/>
      <c r="N138" s="28"/>
      <c r="O138" s="29"/>
      <c r="P138" s="30"/>
    </row>
    <row r="139" spans="1:16" x14ac:dyDescent="0.2">
      <c r="A139" s="13" t="s">
        <v>266</v>
      </c>
      <c r="B139" s="19"/>
      <c r="C139" s="20"/>
      <c r="D139" s="19"/>
      <c r="E139" s="21"/>
      <c r="F139" s="22"/>
      <c r="G139" s="23"/>
      <c r="H139" s="94"/>
      <c r="I139" s="25"/>
      <c r="J139" s="21"/>
      <c r="K139" s="23">
        <f>2938+105</f>
        <v>3043</v>
      </c>
      <c r="L139" s="26"/>
      <c r="M139" s="27"/>
      <c r="N139" s="28"/>
      <c r="O139" s="29"/>
      <c r="P139" s="30"/>
    </row>
    <row r="140" spans="1:16" x14ac:dyDescent="0.2">
      <c r="A140" s="13" t="s">
        <v>267</v>
      </c>
      <c r="B140" s="19"/>
      <c r="C140" s="20"/>
      <c r="D140" s="19"/>
      <c r="E140" s="21"/>
      <c r="F140" s="22"/>
      <c r="G140" s="23"/>
      <c r="H140" s="94"/>
      <c r="I140" s="25"/>
      <c r="J140" s="21"/>
      <c r="K140" s="23">
        <f>634</f>
        <v>634</v>
      </c>
      <c r="L140" s="26"/>
      <c r="M140" s="27"/>
      <c r="N140" s="28"/>
      <c r="O140" s="29"/>
      <c r="P140" s="30"/>
    </row>
    <row r="141" spans="1:16" x14ac:dyDescent="0.2">
      <c r="A141" s="13" t="s">
        <v>268</v>
      </c>
      <c r="B141" s="19"/>
      <c r="C141" s="20"/>
      <c r="D141" s="19"/>
      <c r="E141" s="21"/>
      <c r="F141" s="22"/>
      <c r="G141" s="23"/>
      <c r="H141" s="94"/>
      <c r="I141" s="25"/>
      <c r="J141" s="21"/>
      <c r="K141" s="23">
        <v>4783</v>
      </c>
      <c r="L141" s="26"/>
      <c r="M141" s="27"/>
      <c r="N141" s="28"/>
      <c r="O141" s="29"/>
      <c r="P141" s="30"/>
    </row>
    <row r="142" spans="1:16" x14ac:dyDescent="0.2">
      <c r="A142" s="19" t="s">
        <v>269</v>
      </c>
      <c r="B142" s="19" t="s">
        <v>43</v>
      </c>
      <c r="C142" s="20">
        <v>44566</v>
      </c>
      <c r="D142" s="19"/>
      <c r="E142" s="21"/>
      <c r="F142" s="22"/>
      <c r="G142" s="23"/>
      <c r="H142" s="95"/>
      <c r="I142" s="25"/>
      <c r="J142" s="21"/>
      <c r="K142" s="23">
        <v>6</v>
      </c>
      <c r="L142" s="26"/>
      <c r="M142" s="27"/>
      <c r="N142" s="18"/>
      <c r="O142" s="18"/>
      <c r="P142" s="18"/>
    </row>
    <row r="143" spans="1:16" x14ac:dyDescent="0.2">
      <c r="A143" s="19" t="s">
        <v>270</v>
      </c>
      <c r="B143" s="19" t="s">
        <v>105</v>
      </c>
      <c r="C143" s="20">
        <v>44566</v>
      </c>
      <c r="D143" s="19"/>
      <c r="E143" s="21"/>
      <c r="F143" s="22"/>
      <c r="G143" s="23"/>
      <c r="H143" s="95"/>
      <c r="I143" s="25"/>
      <c r="J143" s="21"/>
      <c r="K143" s="23">
        <v>24</v>
      </c>
      <c r="L143" s="26"/>
      <c r="M143" s="27"/>
      <c r="N143" s="18"/>
      <c r="O143" s="18"/>
      <c r="P143" s="18"/>
    </row>
    <row r="144" spans="1:16" x14ac:dyDescent="0.2">
      <c r="A144" s="19" t="s">
        <v>271</v>
      </c>
      <c r="B144" s="19" t="s">
        <v>107</v>
      </c>
      <c r="C144" s="20">
        <v>44566</v>
      </c>
      <c r="D144" s="19"/>
      <c r="E144" s="21"/>
      <c r="F144" s="22"/>
      <c r="G144" s="23"/>
      <c r="H144" s="95"/>
      <c r="I144" s="25"/>
      <c r="J144" s="21"/>
      <c r="K144" s="23">
        <v>6</v>
      </c>
      <c r="L144" s="26"/>
      <c r="M144" s="27"/>
      <c r="N144" s="18"/>
      <c r="O144" s="18"/>
      <c r="P144" s="18"/>
    </row>
    <row r="145" spans="1:16" x14ac:dyDescent="0.2">
      <c r="A145" s="19" t="s">
        <v>272</v>
      </c>
      <c r="B145" s="19" t="s">
        <v>93</v>
      </c>
      <c r="C145" s="20">
        <v>44566</v>
      </c>
      <c r="D145" s="19"/>
      <c r="E145" s="21"/>
      <c r="F145" s="22"/>
      <c r="G145" s="23"/>
      <c r="H145" s="95"/>
      <c r="I145" s="25"/>
      <c r="J145" s="21"/>
      <c r="K145" s="23">
        <v>34</v>
      </c>
      <c r="L145" s="26"/>
      <c r="M145" s="27"/>
      <c r="N145" s="18"/>
      <c r="O145" s="18"/>
      <c r="P145" s="18"/>
    </row>
    <row r="146" spans="1:16" x14ac:dyDescent="0.2">
      <c r="A146" s="19" t="s">
        <v>273</v>
      </c>
      <c r="B146" s="19" t="s">
        <v>19</v>
      </c>
      <c r="C146" s="20">
        <v>44580</v>
      </c>
      <c r="D146" s="19"/>
      <c r="E146" s="21"/>
      <c r="F146" s="22"/>
      <c r="G146" s="23"/>
      <c r="H146" s="95"/>
      <c r="I146" s="25"/>
      <c r="J146" s="21"/>
      <c r="K146" s="23">
        <v>36</v>
      </c>
      <c r="L146" s="26"/>
      <c r="M146" s="27"/>
      <c r="N146" s="18"/>
      <c r="O146" s="18"/>
      <c r="P146" s="18"/>
    </row>
    <row r="147" spans="1:16" x14ac:dyDescent="0.2">
      <c r="A147" s="19" t="s">
        <v>274</v>
      </c>
      <c r="B147" s="19" t="s">
        <v>27</v>
      </c>
      <c r="C147" s="20">
        <v>44581</v>
      </c>
      <c r="D147" s="19"/>
      <c r="E147" s="21"/>
      <c r="F147" s="22"/>
      <c r="G147" s="23"/>
      <c r="H147" s="95"/>
      <c r="I147" s="25"/>
      <c r="J147" s="21"/>
      <c r="K147" s="23">
        <v>26</v>
      </c>
      <c r="L147" s="26"/>
      <c r="M147" s="27"/>
      <c r="N147" s="18"/>
      <c r="O147" s="18"/>
      <c r="P147" s="18"/>
    </row>
    <row r="148" spans="1:16" x14ac:dyDescent="0.2">
      <c r="A148" s="19"/>
      <c r="B148" s="19"/>
      <c r="C148" s="20"/>
      <c r="D148" s="19"/>
      <c r="E148" s="21"/>
      <c r="F148" s="22"/>
      <c r="G148" s="23"/>
      <c r="H148" s="95"/>
      <c r="I148" s="25"/>
      <c r="J148" s="21"/>
      <c r="K148" s="23"/>
      <c r="L148" s="26"/>
      <c r="M148" s="27"/>
      <c r="N148" s="18"/>
      <c r="O148" s="18"/>
      <c r="P148" s="18"/>
    </row>
    <row r="149" spans="1:16" x14ac:dyDescent="0.2">
      <c r="A149" s="85" t="s">
        <v>275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96"/>
      <c r="O149" s="97"/>
      <c r="P149" s="98"/>
    </row>
    <row r="150" spans="1:16" x14ac:dyDescent="0.2">
      <c r="A150" s="13" t="s">
        <v>2</v>
      </c>
      <c r="B150" s="13" t="s">
        <v>3</v>
      </c>
      <c r="C150" s="14" t="s">
        <v>276</v>
      </c>
      <c r="D150" s="13" t="s">
        <v>5</v>
      </c>
      <c r="E150" s="13" t="s">
        <v>277</v>
      </c>
      <c r="F150" s="13" t="s">
        <v>278</v>
      </c>
      <c r="G150" s="13" t="s">
        <v>279</v>
      </c>
      <c r="H150" s="15" t="s">
        <v>9</v>
      </c>
      <c r="I150" s="13" t="s">
        <v>10</v>
      </c>
      <c r="J150" s="13" t="s">
        <v>11</v>
      </c>
      <c r="K150" s="13" t="s">
        <v>12</v>
      </c>
      <c r="L150" s="13" t="s">
        <v>13</v>
      </c>
      <c r="M150" s="16" t="s">
        <v>14</v>
      </c>
      <c r="N150" s="17"/>
      <c r="O150" s="99"/>
      <c r="P150" s="16"/>
    </row>
    <row r="151" spans="1:16" x14ac:dyDescent="0.2">
      <c r="A151" s="19" t="s">
        <v>280</v>
      </c>
      <c r="B151" s="19" t="s">
        <v>281</v>
      </c>
      <c r="C151" s="20">
        <v>44601</v>
      </c>
      <c r="D151" s="19">
        <v>-1</v>
      </c>
      <c r="E151" s="21">
        <v>1.1438999999999999</v>
      </c>
      <c r="F151" s="22">
        <v>3250</v>
      </c>
      <c r="G151" s="23">
        <f>(D151*F151)/E151</f>
        <v>-2841.1574438325028</v>
      </c>
      <c r="H151" s="95">
        <f>'[1]auto data'!C10</f>
        <v>3052.03</v>
      </c>
      <c r="I151" s="25">
        <v>0</v>
      </c>
      <c r="J151" s="21">
        <f>C153</f>
        <v>1.1325028312570782</v>
      </c>
      <c r="K151" s="23">
        <f>-(D151*H151)/J151</f>
        <v>2694.9424899999999</v>
      </c>
      <c r="L151" s="26">
        <f>M151/(-G151)</f>
        <v>5.1463164827384653E-2</v>
      </c>
      <c r="M151" s="27">
        <f>-G151-K151</f>
        <v>146.21495383250294</v>
      </c>
      <c r="N151" s="18"/>
      <c r="O151" s="18"/>
      <c r="P151" s="18"/>
    </row>
    <row r="152" spans="1:16" x14ac:dyDescent="0.2">
      <c r="A152" s="85" t="s">
        <v>282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96"/>
      <c r="O152" s="97"/>
      <c r="P152" s="98"/>
    </row>
    <row r="153" spans="1:16" x14ac:dyDescent="0.2">
      <c r="A153" s="19" t="s">
        <v>283</v>
      </c>
      <c r="B153" s="19" t="s">
        <v>284</v>
      </c>
      <c r="C153" s="100">
        <f>'[1]auto data'!D3</f>
        <v>1.1325028312570782</v>
      </c>
      <c r="D153" s="19"/>
      <c r="E153" s="19"/>
      <c r="F153" s="101"/>
      <c r="G153" s="19"/>
      <c r="H153" s="102"/>
      <c r="I153" s="19"/>
      <c r="J153" s="103"/>
      <c r="K153" s="19"/>
      <c r="L153" s="19"/>
      <c r="M153" s="72"/>
      <c r="N153" s="43"/>
      <c r="O153" s="82"/>
      <c r="P153" s="72"/>
    </row>
    <row r="154" spans="1:16" x14ac:dyDescent="0.2">
      <c r="A154" s="19" t="s">
        <v>285</v>
      </c>
      <c r="B154" s="19" t="s">
        <v>286</v>
      </c>
      <c r="C154" s="100">
        <f>'[1]auto data'!D4</f>
        <v>1.4442518775274407</v>
      </c>
      <c r="D154" s="19"/>
      <c r="E154" s="19"/>
      <c r="F154" s="19"/>
      <c r="G154" s="19"/>
      <c r="H154" s="19"/>
      <c r="I154" s="19"/>
      <c r="J154" s="103"/>
      <c r="K154" s="19"/>
      <c r="L154" s="19"/>
      <c r="M154" s="72"/>
      <c r="N154" s="43"/>
      <c r="O154" s="82"/>
      <c r="P154" s="72"/>
    </row>
    <row r="155" spans="1:16" x14ac:dyDescent="0.2">
      <c r="A155" s="19" t="s">
        <v>287</v>
      </c>
      <c r="B155" s="19" t="s">
        <v>288</v>
      </c>
      <c r="C155" s="100">
        <f>'[1]auto data'!D5</f>
        <v>1.5787811809283234</v>
      </c>
      <c r="D155" s="19"/>
      <c r="E155" s="19"/>
      <c r="F155" s="19"/>
      <c r="G155" s="19"/>
      <c r="H155" s="19"/>
      <c r="I155" s="19"/>
      <c r="J155" s="103"/>
      <c r="K155" s="19"/>
      <c r="L155" s="104"/>
      <c r="M155" s="72"/>
      <c r="N155" s="43"/>
      <c r="O155" s="82"/>
      <c r="P155" s="72"/>
    </row>
    <row r="156" spans="1:16" x14ac:dyDescent="0.2">
      <c r="A156" s="19" t="s">
        <v>289</v>
      </c>
      <c r="B156" s="19" t="s">
        <v>290</v>
      </c>
      <c r="C156" s="100">
        <f>'[1]auto data'!D6</f>
        <v>0.83333333333333337</v>
      </c>
      <c r="D156" s="19"/>
      <c r="E156" s="19"/>
      <c r="F156" s="19"/>
      <c r="G156" s="19"/>
      <c r="H156" s="19"/>
      <c r="I156" s="19"/>
      <c r="J156" s="21"/>
      <c r="K156" s="19"/>
      <c r="L156" s="19"/>
      <c r="M156" s="72"/>
      <c r="N156" s="43"/>
      <c r="O156" s="82"/>
      <c r="P156" s="72"/>
    </row>
    <row r="157" spans="1:16" x14ac:dyDescent="0.2">
      <c r="A157" s="85" t="s">
        <v>291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7"/>
    </row>
    <row r="158" spans="1:16" x14ac:dyDescent="0.2">
      <c r="A158" s="105" t="s">
        <v>292</v>
      </c>
      <c r="B158" s="105"/>
      <c r="C158" s="105"/>
      <c r="D158" s="105"/>
      <c r="E158" s="106">
        <f>SUM(G2:G135)</f>
        <v>47724.219022169396</v>
      </c>
      <c r="F158" s="19"/>
      <c r="G158" s="105" t="s">
        <v>293</v>
      </c>
      <c r="H158" s="105"/>
      <c r="I158" s="105"/>
      <c r="J158" s="105"/>
      <c r="K158" s="107">
        <f>SUM(K2:K135)</f>
        <v>57429.776940814685</v>
      </c>
      <c r="L158" s="19"/>
      <c r="M158" s="108" t="s">
        <v>294</v>
      </c>
      <c r="N158" s="109"/>
      <c r="O158" s="110"/>
      <c r="P158" s="111">
        <f>P159+M95+M76+M58+M41+M34+M18+M2+M65</f>
        <v>56039.583526756956</v>
      </c>
    </row>
    <row r="159" spans="1:16" x14ac:dyDescent="0.2">
      <c r="A159" s="105" t="s">
        <v>295</v>
      </c>
      <c r="B159" s="105"/>
      <c r="C159" s="105"/>
      <c r="D159" s="105"/>
      <c r="E159" s="106">
        <v>25000</v>
      </c>
      <c r="F159" s="19"/>
      <c r="G159" s="112" t="s">
        <v>296</v>
      </c>
      <c r="H159" s="113"/>
      <c r="I159" s="113"/>
      <c r="J159" s="114"/>
      <c r="K159" s="115">
        <f>K158-E158</f>
        <v>9705.5579186452887</v>
      </c>
      <c r="L159" s="19"/>
      <c r="M159" s="108" t="s">
        <v>297</v>
      </c>
      <c r="N159" s="109"/>
      <c r="O159" s="110"/>
      <c r="P159" s="116">
        <f>E160-E158</f>
        <v>4890.7809778306037</v>
      </c>
    </row>
    <row r="160" spans="1:16" x14ac:dyDescent="0.2">
      <c r="A160" s="105" t="s">
        <v>298</v>
      </c>
      <c r="B160" s="105"/>
      <c r="C160" s="105"/>
      <c r="D160" s="105"/>
      <c r="E160" s="106">
        <f>E159+K160</f>
        <v>52615</v>
      </c>
      <c r="F160" s="19"/>
      <c r="G160" s="105" t="s">
        <v>299</v>
      </c>
      <c r="H160" s="105"/>
      <c r="I160" s="105"/>
      <c r="J160" s="105"/>
      <c r="K160" s="107">
        <f>SUM(K137:K149)</f>
        <v>27615</v>
      </c>
      <c r="L160" s="38"/>
      <c r="M160" s="108" t="s">
        <v>300</v>
      </c>
      <c r="N160" s="109"/>
      <c r="O160" s="110"/>
      <c r="P160" s="117">
        <f>P159/P158</f>
        <v>8.7273685313800115E-2</v>
      </c>
    </row>
    <row r="161" spans="1:16" x14ac:dyDescent="0.2">
      <c r="A161" s="105" t="s">
        <v>301</v>
      </c>
      <c r="B161" s="105"/>
      <c r="C161" s="105"/>
      <c r="D161" s="105"/>
      <c r="E161" s="106">
        <f>E160+K161+K160</f>
        <v>80231.241583341063</v>
      </c>
      <c r="F161" s="19"/>
      <c r="G161" s="105" t="s">
        <v>302</v>
      </c>
      <c r="H161" s="105"/>
      <c r="I161" s="105"/>
      <c r="J161" s="105"/>
      <c r="K161" s="118">
        <f>(P158/E159)-1</f>
        <v>1.2415833410702781</v>
      </c>
      <c r="L161" s="38"/>
      <c r="M161" s="119" t="s">
        <v>303</v>
      </c>
      <c r="N161" s="120"/>
      <c r="O161" s="121"/>
      <c r="P161" s="122">
        <f>P95+P76+P65+P58+P41+P34+P18+P2+P160</f>
        <v>0.99673420545511227</v>
      </c>
    </row>
    <row r="162" spans="1:16" x14ac:dyDescent="0.2">
      <c r="A162" s="85" t="s">
        <v>304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7"/>
    </row>
    <row r="163" spans="1:16" x14ac:dyDescent="0.2">
      <c r="A163" s="13" t="s">
        <v>305</v>
      </c>
      <c r="B163" s="13" t="s">
        <v>3</v>
      </c>
      <c r="C163" s="13" t="s">
        <v>306</v>
      </c>
      <c r="D163" s="13" t="s">
        <v>5</v>
      </c>
      <c r="E163" s="13" t="s">
        <v>307</v>
      </c>
      <c r="F163" s="13" t="s">
        <v>308</v>
      </c>
      <c r="G163" s="13" t="s">
        <v>309</v>
      </c>
      <c r="H163" s="16" t="s">
        <v>310</v>
      </c>
      <c r="I163" s="16" t="s">
        <v>311</v>
      </c>
      <c r="J163" s="119" t="s">
        <v>312</v>
      </c>
      <c r="K163" s="119" t="s">
        <v>313</v>
      </c>
      <c r="L163" s="120"/>
      <c r="M163" s="120"/>
      <c r="N163" s="120"/>
      <c r="O163" s="120"/>
      <c r="P163" s="121"/>
    </row>
    <row r="164" spans="1:16" x14ac:dyDescent="0.2">
      <c r="A164" s="19" t="s">
        <v>314</v>
      </c>
      <c r="B164" s="19" t="s">
        <v>315</v>
      </c>
      <c r="C164" s="123"/>
      <c r="D164" s="19">
        <v>20</v>
      </c>
      <c r="E164" s="21">
        <f>C153</f>
        <v>1.1325028312570782</v>
      </c>
      <c r="F164" s="101">
        <f>'[1]auto data'!W6</f>
        <v>32.200000000000003</v>
      </c>
      <c r="G164" s="23">
        <f>(F164/E164)*D164</f>
        <v>568.65200000000004</v>
      </c>
      <c r="H164" s="102">
        <v>25</v>
      </c>
      <c r="I164" s="72" t="s">
        <v>316</v>
      </c>
      <c r="J164" s="21" t="s">
        <v>317</v>
      </c>
      <c r="K164" s="124" t="s">
        <v>318</v>
      </c>
      <c r="L164" s="125"/>
      <c r="M164" s="125"/>
      <c r="N164" s="125"/>
      <c r="O164" s="125"/>
      <c r="P164" s="126"/>
    </row>
    <row r="165" spans="1:16" x14ac:dyDescent="0.2">
      <c r="A165" s="19" t="s">
        <v>319</v>
      </c>
      <c r="B165" s="19" t="s">
        <v>320</v>
      </c>
      <c r="C165" s="123"/>
      <c r="D165" s="19">
        <v>30</v>
      </c>
      <c r="E165" s="21">
        <f>C156</f>
        <v>0.83333333333333337</v>
      </c>
      <c r="F165" s="127">
        <f>'[1]auto data'!W7</f>
        <v>3409</v>
      </c>
      <c r="G165" s="23">
        <f>(F165/100)/E165*D165</f>
        <v>1227.24</v>
      </c>
      <c r="H165" s="128">
        <v>2000</v>
      </c>
      <c r="I165" s="72" t="s">
        <v>321</v>
      </c>
      <c r="J165" s="21" t="s">
        <v>317</v>
      </c>
      <c r="K165" s="124" t="s">
        <v>322</v>
      </c>
      <c r="L165" s="125"/>
      <c r="M165" s="125"/>
      <c r="N165" s="125"/>
      <c r="O165" s="125"/>
      <c r="P165" s="126"/>
    </row>
    <row r="166" spans="1:16" x14ac:dyDescent="0.2">
      <c r="A166" s="19" t="s">
        <v>323</v>
      </c>
      <c r="B166" s="19" t="s">
        <v>324</v>
      </c>
      <c r="C166" s="123"/>
      <c r="D166" s="19">
        <v>100</v>
      </c>
      <c r="E166" s="21">
        <f>C153</f>
        <v>1.1325028312570782</v>
      </c>
      <c r="F166" s="101">
        <f>'[1]auto data'!W9</f>
        <v>4.1100000000000003</v>
      </c>
      <c r="G166" s="23">
        <f t="shared" ref="G166:G179" si="42">(F166/E166)*D166</f>
        <v>362.91300000000001</v>
      </c>
      <c r="H166" s="102">
        <v>3</v>
      </c>
      <c r="I166" s="72" t="s">
        <v>316</v>
      </c>
      <c r="J166" s="21" t="s">
        <v>317</v>
      </c>
      <c r="K166" s="124" t="s">
        <v>325</v>
      </c>
      <c r="L166" s="125"/>
      <c r="M166" s="125"/>
      <c r="N166" s="125"/>
      <c r="O166" s="125"/>
      <c r="P166" s="126"/>
    </row>
    <row r="167" spans="1:16" x14ac:dyDescent="0.2">
      <c r="A167" s="19" t="s">
        <v>326</v>
      </c>
      <c r="B167" s="19" t="s">
        <v>327</v>
      </c>
      <c r="C167" s="123"/>
      <c r="D167" s="19">
        <v>10</v>
      </c>
      <c r="E167" s="21">
        <f>C153</f>
        <v>1.1325028312570782</v>
      </c>
      <c r="F167" s="101">
        <f>'[1]auto data'!W8</f>
        <v>67.67</v>
      </c>
      <c r="G167" s="23">
        <f t="shared" si="42"/>
        <v>597.52609999999993</v>
      </c>
      <c r="H167" s="102">
        <v>50</v>
      </c>
      <c r="I167" s="72" t="s">
        <v>316</v>
      </c>
      <c r="J167" s="21" t="s">
        <v>317</v>
      </c>
      <c r="K167" s="124" t="s">
        <v>325</v>
      </c>
      <c r="L167" s="125"/>
      <c r="M167" s="125"/>
      <c r="N167" s="125"/>
      <c r="O167" s="125"/>
      <c r="P167" s="126"/>
    </row>
    <row r="168" spans="1:16" x14ac:dyDescent="0.2">
      <c r="A168" s="19" t="s">
        <v>328</v>
      </c>
      <c r="B168" s="19" t="s">
        <v>329</v>
      </c>
      <c r="C168" s="123"/>
      <c r="D168" s="19">
        <v>12</v>
      </c>
      <c r="E168" s="21">
        <f>C153</f>
        <v>1.1325028312570782</v>
      </c>
      <c r="F168" s="101">
        <f>'[1]auto data'!W10</f>
        <v>64.180000000000007</v>
      </c>
      <c r="G168" s="23">
        <f t="shared" si="42"/>
        <v>680.05128000000002</v>
      </c>
      <c r="H168" s="102">
        <v>48</v>
      </c>
      <c r="I168" s="72" t="s">
        <v>316</v>
      </c>
      <c r="J168" s="21" t="s">
        <v>317</v>
      </c>
      <c r="K168" s="124" t="s">
        <v>330</v>
      </c>
      <c r="L168" s="125"/>
      <c r="M168" s="125"/>
      <c r="N168" s="125"/>
      <c r="O168" s="125"/>
      <c r="P168" s="126"/>
    </row>
    <row r="169" spans="1:16" x14ac:dyDescent="0.2">
      <c r="A169" s="19" t="s">
        <v>331</v>
      </c>
      <c r="B169" s="19" t="s">
        <v>332</v>
      </c>
      <c r="C169" s="123"/>
      <c r="D169" s="19">
        <v>10</v>
      </c>
      <c r="E169" s="21">
        <f>C153</f>
        <v>1.1325028312570782</v>
      </c>
      <c r="F169" s="101">
        <f>'[1]auto data'!W11</f>
        <v>69.45</v>
      </c>
      <c r="G169" s="23">
        <f t="shared" si="42"/>
        <v>613.24350000000004</v>
      </c>
      <c r="H169" s="102">
        <v>62</v>
      </c>
      <c r="I169" s="72" t="s">
        <v>316</v>
      </c>
      <c r="J169" s="21" t="s">
        <v>317</v>
      </c>
      <c r="K169" s="124" t="s">
        <v>333</v>
      </c>
      <c r="L169" s="125"/>
      <c r="M169" s="125"/>
      <c r="N169" s="125"/>
      <c r="O169" s="125"/>
      <c r="P169" s="126"/>
    </row>
    <row r="170" spans="1:16" x14ac:dyDescent="0.2">
      <c r="A170" s="19" t="s">
        <v>334</v>
      </c>
      <c r="B170" s="19" t="s">
        <v>335</v>
      </c>
      <c r="C170" s="123"/>
      <c r="D170" s="19">
        <v>50</v>
      </c>
      <c r="E170" s="21">
        <f>C155</f>
        <v>1.5787811809283234</v>
      </c>
      <c r="F170" s="101">
        <f>'[1]auto data'!W12</f>
        <v>19.850000000000001</v>
      </c>
      <c r="G170" s="23">
        <f t="shared" si="42"/>
        <v>628.64949999999999</v>
      </c>
      <c r="H170" s="102">
        <v>11.5</v>
      </c>
      <c r="I170" s="72" t="s">
        <v>336</v>
      </c>
      <c r="J170" s="21" t="s">
        <v>317</v>
      </c>
      <c r="K170" s="124" t="s">
        <v>337</v>
      </c>
      <c r="L170" s="125"/>
      <c r="M170" s="125"/>
      <c r="N170" s="125"/>
      <c r="O170" s="125"/>
      <c r="P170" s="126"/>
    </row>
    <row r="171" spans="1:16" x14ac:dyDescent="0.2">
      <c r="A171" s="19" t="s">
        <v>338</v>
      </c>
      <c r="B171" s="19" t="s">
        <v>339</v>
      </c>
      <c r="C171" s="123" t="s">
        <v>340</v>
      </c>
      <c r="D171" s="19">
        <v>700</v>
      </c>
      <c r="E171" s="21">
        <f>C154</f>
        <v>1.4442518775274407</v>
      </c>
      <c r="F171" s="101">
        <f>'[1]auto data'!W13</f>
        <v>0.85</v>
      </c>
      <c r="G171" s="23">
        <f t="shared" si="42"/>
        <v>411.97800000000007</v>
      </c>
      <c r="H171" s="102">
        <v>0.3</v>
      </c>
      <c r="I171" s="72" t="s">
        <v>341</v>
      </c>
      <c r="J171" s="21" t="s">
        <v>317</v>
      </c>
      <c r="K171" s="124" t="s">
        <v>342</v>
      </c>
      <c r="L171" s="125"/>
      <c r="M171" s="125"/>
      <c r="N171" s="125"/>
      <c r="O171" s="125"/>
      <c r="P171" s="126"/>
    </row>
    <row r="172" spans="1:16" x14ac:dyDescent="0.2">
      <c r="A172" s="19" t="s">
        <v>343</v>
      </c>
      <c r="B172" s="19" t="s">
        <v>344</v>
      </c>
      <c r="C172" s="123"/>
      <c r="D172" s="19">
        <v>1000</v>
      </c>
      <c r="E172" s="21">
        <f>C154</f>
        <v>1.4442518775274407</v>
      </c>
      <c r="F172" s="101">
        <f>'[1]auto data'!W14</f>
        <v>0.6</v>
      </c>
      <c r="G172" s="23">
        <f t="shared" si="42"/>
        <v>415.44000000000005</v>
      </c>
      <c r="H172" s="102">
        <v>0.4</v>
      </c>
      <c r="I172" s="72" t="s">
        <v>341</v>
      </c>
      <c r="J172" s="21" t="s">
        <v>345</v>
      </c>
      <c r="K172" s="124" t="s">
        <v>342</v>
      </c>
      <c r="L172" s="125"/>
      <c r="M172" s="125"/>
      <c r="N172" s="125"/>
      <c r="O172" s="125"/>
      <c r="P172" s="126"/>
    </row>
    <row r="173" spans="1:16" x14ac:dyDescent="0.2">
      <c r="A173" s="19" t="s">
        <v>346</v>
      </c>
      <c r="B173" s="19" t="s">
        <v>347</v>
      </c>
      <c r="C173" s="123"/>
      <c r="D173" s="19">
        <v>400</v>
      </c>
      <c r="E173" s="21">
        <f>C154</f>
        <v>1.4442518775274407</v>
      </c>
      <c r="F173" s="101">
        <f>'[1]auto data'!W15</f>
        <v>1.3149999999999999</v>
      </c>
      <c r="G173" s="23">
        <f t="shared" si="42"/>
        <v>364.20240000000001</v>
      </c>
      <c r="H173" s="102">
        <v>0.75</v>
      </c>
      <c r="I173" s="72" t="s">
        <v>336</v>
      </c>
      <c r="J173" s="21" t="s">
        <v>345</v>
      </c>
      <c r="K173" s="124" t="s">
        <v>348</v>
      </c>
      <c r="L173" s="125"/>
      <c r="M173" s="125"/>
      <c r="N173" s="125"/>
      <c r="O173" s="125"/>
      <c r="P173" s="126"/>
    </row>
    <row r="174" spans="1:16" x14ac:dyDescent="0.2">
      <c r="A174" s="19" t="s">
        <v>349</v>
      </c>
      <c r="B174" s="19" t="s">
        <v>350</v>
      </c>
      <c r="C174" s="123"/>
      <c r="D174" s="19">
        <v>24</v>
      </c>
      <c r="E174" s="21">
        <f>C153</f>
        <v>1.1325028312570782</v>
      </c>
      <c r="F174" s="101">
        <f>'[1]auto data'!W16</f>
        <v>8.76</v>
      </c>
      <c r="G174" s="23">
        <f t="shared" si="42"/>
        <v>185.64192</v>
      </c>
      <c r="H174" s="102">
        <v>7</v>
      </c>
      <c r="I174" s="72" t="s">
        <v>316</v>
      </c>
      <c r="J174" s="21" t="s">
        <v>345</v>
      </c>
      <c r="K174" s="124" t="s">
        <v>348</v>
      </c>
      <c r="L174" s="125"/>
      <c r="M174" s="125"/>
      <c r="N174" s="125"/>
      <c r="O174" s="125"/>
      <c r="P174" s="126"/>
    </row>
    <row r="175" spans="1:16" x14ac:dyDescent="0.2">
      <c r="A175" s="19" t="s">
        <v>351</v>
      </c>
      <c r="B175" s="19" t="s">
        <v>245</v>
      </c>
      <c r="C175" s="123"/>
      <c r="D175" s="19">
        <v>20</v>
      </c>
      <c r="E175" s="21">
        <f>C156</f>
        <v>0.83333333333333337</v>
      </c>
      <c r="F175" s="101">
        <f>'[1]auto data'!W17</f>
        <v>10.3</v>
      </c>
      <c r="G175" s="23">
        <f t="shared" si="42"/>
        <v>247.2</v>
      </c>
      <c r="H175" s="102">
        <v>7</v>
      </c>
      <c r="I175" s="72" t="s">
        <v>321</v>
      </c>
      <c r="J175" s="21" t="s">
        <v>345</v>
      </c>
      <c r="K175" s="124" t="s">
        <v>348</v>
      </c>
      <c r="L175" s="125"/>
      <c r="M175" s="125"/>
      <c r="N175" s="125"/>
      <c r="O175" s="125"/>
      <c r="P175" s="126"/>
    </row>
    <row r="176" spans="1:16" x14ac:dyDescent="0.2">
      <c r="A176" s="19" t="s">
        <v>352</v>
      </c>
      <c r="B176" s="19" t="s">
        <v>353</v>
      </c>
      <c r="C176" s="123"/>
      <c r="D176" s="19">
        <v>300</v>
      </c>
      <c r="E176" s="21">
        <f>C154</f>
        <v>1.4442518775274407</v>
      </c>
      <c r="F176" s="101">
        <f>'[1]auto data'!J42</f>
        <v>0.89</v>
      </c>
      <c r="G176" s="23">
        <f t="shared" si="42"/>
        <v>184.8708</v>
      </c>
      <c r="H176" s="102">
        <v>0.75</v>
      </c>
      <c r="I176" s="72" t="s">
        <v>341</v>
      </c>
      <c r="J176" s="21" t="s">
        <v>345</v>
      </c>
      <c r="K176" s="124" t="s">
        <v>348</v>
      </c>
      <c r="L176" s="125"/>
      <c r="M176" s="125"/>
      <c r="N176" s="125"/>
      <c r="O176" s="125"/>
      <c r="P176" s="126"/>
    </row>
    <row r="177" spans="1:16" x14ac:dyDescent="0.2">
      <c r="A177" s="19" t="s">
        <v>354</v>
      </c>
      <c r="B177" s="19" t="s">
        <v>355</v>
      </c>
      <c r="C177" s="123"/>
      <c r="D177" s="19">
        <v>500</v>
      </c>
      <c r="E177" s="21">
        <f>C154</f>
        <v>1.4442518775274407</v>
      </c>
      <c r="F177" s="25">
        <f>'[1]auto data'!J41</f>
        <v>1.18</v>
      </c>
      <c r="G177" s="23">
        <f t="shared" si="42"/>
        <v>408.51599999999996</v>
      </c>
      <c r="H177" s="102">
        <v>0.5</v>
      </c>
      <c r="I177" s="72" t="s">
        <v>341</v>
      </c>
      <c r="J177" s="21" t="s">
        <v>345</v>
      </c>
      <c r="K177" s="124" t="s">
        <v>348</v>
      </c>
      <c r="L177" s="125"/>
      <c r="M177" s="125"/>
      <c r="N177" s="125"/>
      <c r="O177" s="125"/>
      <c r="P177" s="126"/>
    </row>
    <row r="178" spans="1:16" x14ac:dyDescent="0.2">
      <c r="A178" s="19" t="s">
        <v>356</v>
      </c>
      <c r="B178" s="19" t="s">
        <v>357</v>
      </c>
      <c r="C178" s="123"/>
      <c r="D178" s="19">
        <v>400</v>
      </c>
      <c r="E178" s="21">
        <f>C153</f>
        <v>1.1325028312570782</v>
      </c>
      <c r="F178" s="101">
        <f>'[1]auto data'!J40</f>
        <v>0.47</v>
      </c>
      <c r="G178" s="23">
        <f t="shared" si="42"/>
        <v>166.00399999999999</v>
      </c>
      <c r="H178" s="102">
        <v>0.45</v>
      </c>
      <c r="I178" s="72" t="s">
        <v>358</v>
      </c>
      <c r="J178" s="21" t="s">
        <v>345</v>
      </c>
      <c r="K178" s="124" t="s">
        <v>348</v>
      </c>
      <c r="L178" s="125"/>
      <c r="M178" s="125"/>
      <c r="N178" s="125"/>
      <c r="O178" s="125"/>
      <c r="P178" s="126"/>
    </row>
    <row r="179" spans="1:16" x14ac:dyDescent="0.2">
      <c r="A179" s="19" t="s">
        <v>359</v>
      </c>
      <c r="B179" s="19" t="s">
        <v>360</v>
      </c>
      <c r="C179" s="123"/>
      <c r="D179" s="19">
        <v>200</v>
      </c>
      <c r="E179" s="21">
        <f>C154</f>
        <v>1.4442518775274407</v>
      </c>
      <c r="F179" s="101">
        <f>'[1]auto data'!W21</f>
        <v>1.2</v>
      </c>
      <c r="G179" s="23">
        <f t="shared" si="42"/>
        <v>166.17600000000002</v>
      </c>
      <c r="H179" s="102">
        <v>1</v>
      </c>
      <c r="I179" s="72" t="s">
        <v>341</v>
      </c>
      <c r="J179" s="21" t="s">
        <v>345</v>
      </c>
      <c r="K179" s="124" t="s">
        <v>348</v>
      </c>
      <c r="L179" s="125"/>
      <c r="M179" s="125"/>
      <c r="N179" s="125"/>
      <c r="O179" s="125"/>
      <c r="P179" s="126"/>
    </row>
    <row r="180" spans="1:16" x14ac:dyDescent="0.2">
      <c r="A180" s="19"/>
      <c r="B180" s="19"/>
      <c r="C180" s="20"/>
      <c r="D180" s="19"/>
      <c r="E180" s="129"/>
      <c r="F180" s="101"/>
      <c r="G180" s="130"/>
      <c r="H180" s="131"/>
      <c r="I180" s="72"/>
      <c r="J180" s="132"/>
      <c r="K180" s="124"/>
      <c r="L180" s="125"/>
      <c r="M180" s="125"/>
      <c r="N180" s="125"/>
      <c r="O180" s="125"/>
      <c r="P180" s="126"/>
    </row>
  </sheetData>
  <mergeCells count="36">
    <mergeCell ref="A160:D160"/>
    <mergeCell ref="G160:J160"/>
    <mergeCell ref="A161:D161"/>
    <mergeCell ref="G161:J161"/>
    <mergeCell ref="N149:P149"/>
    <mergeCell ref="N152:P152"/>
    <mergeCell ref="A158:D158"/>
    <mergeCell ref="G158:J158"/>
    <mergeCell ref="A159:D159"/>
    <mergeCell ref="G159:J159"/>
    <mergeCell ref="M66:O66"/>
    <mergeCell ref="A76:F76"/>
    <mergeCell ref="G76:K76"/>
    <mergeCell ref="M76:O76"/>
    <mergeCell ref="A95:F95"/>
    <mergeCell ref="G95:K95"/>
    <mergeCell ref="M95:O95"/>
    <mergeCell ref="A58:F58"/>
    <mergeCell ref="G58:K58"/>
    <mergeCell ref="M58:O58"/>
    <mergeCell ref="A65:F65"/>
    <mergeCell ref="G65:K65"/>
    <mergeCell ref="M65:O65"/>
    <mergeCell ref="A34:F34"/>
    <mergeCell ref="G34:K34"/>
    <mergeCell ref="M34:O34"/>
    <mergeCell ref="A41:F41"/>
    <mergeCell ref="G41:K41"/>
    <mergeCell ref="M41:O41"/>
    <mergeCell ref="A1:P1"/>
    <mergeCell ref="A2:F2"/>
    <mergeCell ref="G2:K2"/>
    <mergeCell ref="M2:O2"/>
    <mergeCell ref="A18:F18"/>
    <mergeCell ref="G18:K18"/>
    <mergeCell ref="M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2022-02-20T07:53:23Z</dcterms:created>
  <dcterms:modified xsi:type="dcterms:W3CDTF">2022-02-20T07:54:34Z</dcterms:modified>
</cp:coreProperties>
</file>