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13_ncr:1_{C4683914-B61D-574D-88C4-EE524248E5DD}" xr6:coauthVersionLast="46" xr6:coauthVersionMax="46" xr10:uidLastSave="{00000000-0000-0000-0000-000000000000}"/>
  <bookViews>
    <workbookView xWindow="480" yWindow="1000" windowWidth="25040" windowHeight="14420" xr2:uid="{63BD9ED1-3785-194A-A44D-627BED067B8A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1" l="1"/>
  <c r="F136" i="1"/>
  <c r="F135" i="1"/>
  <c r="G135" i="1" s="1"/>
  <c r="E135" i="1"/>
  <c r="F134" i="1"/>
  <c r="E134" i="1"/>
  <c r="G134" i="1" s="1"/>
  <c r="F133" i="1"/>
  <c r="G132" i="1"/>
  <c r="F132" i="1"/>
  <c r="E132" i="1"/>
  <c r="F131" i="1"/>
  <c r="G131" i="1" s="1"/>
  <c r="F130" i="1"/>
  <c r="E130" i="1"/>
  <c r="G130" i="1" s="1"/>
  <c r="C122" i="1"/>
  <c r="E131" i="1" s="1"/>
  <c r="C121" i="1"/>
  <c r="E136" i="1" s="1"/>
  <c r="G136" i="1" s="1"/>
  <c r="C120" i="1"/>
  <c r="J104" i="1" s="1"/>
  <c r="K104" i="1" s="1"/>
  <c r="L104" i="1" s="1"/>
  <c r="C119" i="1"/>
  <c r="E133" i="1" s="1"/>
  <c r="K116" i="1"/>
  <c r="K115" i="1"/>
  <c r="J110" i="1"/>
  <c r="H110" i="1"/>
  <c r="K110" i="1" s="1"/>
  <c r="L110" i="1" s="1"/>
  <c r="G110" i="1"/>
  <c r="K109" i="1"/>
  <c r="L109" i="1" s="1"/>
  <c r="J109" i="1"/>
  <c r="H109" i="1"/>
  <c r="G109" i="1"/>
  <c r="J108" i="1"/>
  <c r="K108" i="1" s="1"/>
  <c r="L108" i="1" s="1"/>
  <c r="H108" i="1"/>
  <c r="G108" i="1"/>
  <c r="H107" i="1"/>
  <c r="G107" i="1"/>
  <c r="J106" i="1"/>
  <c r="H106" i="1"/>
  <c r="G106" i="1"/>
  <c r="K105" i="1"/>
  <c r="L105" i="1" s="1"/>
  <c r="H105" i="1"/>
  <c r="G105" i="1"/>
  <c r="H104" i="1"/>
  <c r="G104" i="1"/>
  <c r="L103" i="1"/>
  <c r="H103" i="1"/>
  <c r="K103" i="1" s="1"/>
  <c r="G103" i="1"/>
  <c r="L102" i="1"/>
  <c r="H102" i="1"/>
  <c r="K102" i="1" s="1"/>
  <c r="G102" i="1"/>
  <c r="H101" i="1"/>
  <c r="K101" i="1" s="1"/>
  <c r="L101" i="1" s="1"/>
  <c r="G101" i="1"/>
  <c r="J100" i="1"/>
  <c r="K100" i="1" s="1"/>
  <c r="L100" i="1" s="1"/>
  <c r="H100" i="1"/>
  <c r="G100" i="1"/>
  <c r="M99" i="1"/>
  <c r="J99" i="1"/>
  <c r="H99" i="1"/>
  <c r="K99" i="1" s="1"/>
  <c r="L99" i="1" s="1"/>
  <c r="G99" i="1"/>
  <c r="K98" i="1"/>
  <c r="L98" i="1" s="1"/>
  <c r="H98" i="1"/>
  <c r="G98" i="1"/>
  <c r="K97" i="1"/>
  <c r="L97" i="1" s="1"/>
  <c r="H97" i="1"/>
  <c r="G97" i="1"/>
  <c r="K96" i="1"/>
  <c r="L96" i="1" s="1"/>
  <c r="J96" i="1"/>
  <c r="H96" i="1"/>
  <c r="G96" i="1"/>
  <c r="L95" i="1"/>
  <c r="J95" i="1"/>
  <c r="K95" i="1" s="1"/>
  <c r="H95" i="1"/>
  <c r="G95" i="1"/>
  <c r="K94" i="1"/>
  <c r="L94" i="1" s="1"/>
  <c r="H94" i="1"/>
  <c r="G94" i="1"/>
  <c r="K93" i="1"/>
  <c r="L93" i="1" s="1"/>
  <c r="H93" i="1"/>
  <c r="G93" i="1"/>
  <c r="K92" i="1"/>
  <c r="H92" i="1"/>
  <c r="G92" i="1"/>
  <c r="H91" i="1"/>
  <c r="G91" i="1"/>
  <c r="H90" i="1"/>
  <c r="K90" i="1" s="1"/>
  <c r="L90" i="1" s="1"/>
  <c r="G90" i="1"/>
  <c r="H89" i="1"/>
  <c r="K89" i="1" s="1"/>
  <c r="L89" i="1" s="1"/>
  <c r="G89" i="1"/>
  <c r="J88" i="1"/>
  <c r="H88" i="1"/>
  <c r="K88" i="1" s="1"/>
  <c r="L88" i="1" s="1"/>
  <c r="G88" i="1"/>
  <c r="K87" i="1"/>
  <c r="L87" i="1" s="1"/>
  <c r="H87" i="1"/>
  <c r="G87" i="1"/>
  <c r="K86" i="1"/>
  <c r="L86" i="1" s="1"/>
  <c r="J86" i="1"/>
  <c r="H86" i="1"/>
  <c r="G86" i="1"/>
  <c r="L85" i="1"/>
  <c r="H85" i="1"/>
  <c r="K85" i="1" s="1"/>
  <c r="G85" i="1"/>
  <c r="L84" i="1"/>
  <c r="J84" i="1"/>
  <c r="I84" i="1"/>
  <c r="H84" i="1"/>
  <c r="K84" i="1" s="1"/>
  <c r="G84" i="1"/>
  <c r="J83" i="1"/>
  <c r="H83" i="1"/>
  <c r="G83" i="1"/>
  <c r="M82" i="1"/>
  <c r="J82" i="1"/>
  <c r="I82" i="1"/>
  <c r="H82" i="1"/>
  <c r="K82" i="1" s="1"/>
  <c r="L82" i="1" s="1"/>
  <c r="G82" i="1"/>
  <c r="J81" i="1"/>
  <c r="I81" i="1"/>
  <c r="I91" i="1" s="1"/>
  <c r="H81" i="1"/>
  <c r="K81" i="1" s="1"/>
  <c r="L81" i="1" s="1"/>
  <c r="G81" i="1"/>
  <c r="M80" i="1"/>
  <c r="J80" i="1"/>
  <c r="H80" i="1"/>
  <c r="K80" i="1" s="1"/>
  <c r="L80" i="1" s="1"/>
  <c r="G80" i="1"/>
  <c r="H79" i="1"/>
  <c r="K79" i="1" s="1"/>
  <c r="L79" i="1" s="1"/>
  <c r="G79" i="1"/>
  <c r="M78" i="1"/>
  <c r="K78" i="1"/>
  <c r="J78" i="1"/>
  <c r="I78" i="1"/>
  <c r="H78" i="1"/>
  <c r="G78" i="1"/>
  <c r="H75" i="1"/>
  <c r="K75" i="1" s="1"/>
  <c r="M75" i="1" s="1"/>
  <c r="G75" i="1"/>
  <c r="K74" i="1"/>
  <c r="H74" i="1"/>
  <c r="G74" i="1"/>
  <c r="M74" i="1" s="1"/>
  <c r="H73" i="1"/>
  <c r="K73" i="1" s="1"/>
  <c r="G73" i="1"/>
  <c r="K72" i="1"/>
  <c r="H72" i="1"/>
  <c r="G72" i="1"/>
  <c r="H71" i="1"/>
  <c r="K71" i="1" s="1"/>
  <c r="M71" i="1" s="1"/>
  <c r="G71" i="1"/>
  <c r="K70" i="1"/>
  <c r="H70" i="1"/>
  <c r="G70" i="1"/>
  <c r="M70" i="1" s="1"/>
  <c r="H69" i="1"/>
  <c r="K69" i="1" s="1"/>
  <c r="G69" i="1"/>
  <c r="K68" i="1"/>
  <c r="H68" i="1"/>
  <c r="G68" i="1"/>
  <c r="H67" i="1"/>
  <c r="K67" i="1" s="1"/>
  <c r="M67" i="1" s="1"/>
  <c r="G67" i="1"/>
  <c r="K66" i="1"/>
  <c r="H66" i="1"/>
  <c r="G66" i="1"/>
  <c r="M66" i="1" s="1"/>
  <c r="H65" i="1"/>
  <c r="K65" i="1" s="1"/>
  <c r="G65" i="1"/>
  <c r="K64" i="1"/>
  <c r="H64" i="1"/>
  <c r="G64" i="1"/>
  <c r="K61" i="1"/>
  <c r="J61" i="1"/>
  <c r="K60" i="1"/>
  <c r="L60" i="1" s="1"/>
  <c r="J60" i="1"/>
  <c r="G60" i="1"/>
  <c r="K59" i="1"/>
  <c r="L59" i="1" s="1"/>
  <c r="J59" i="1"/>
  <c r="G59" i="1"/>
  <c r="K58" i="1"/>
  <c r="L58" i="1" s="1"/>
  <c r="J58" i="1"/>
  <c r="G58" i="1"/>
  <c r="K57" i="1"/>
  <c r="L57" i="1" s="1"/>
  <c r="J57" i="1"/>
  <c r="G57" i="1"/>
  <c r="K56" i="1"/>
  <c r="L56" i="1" s="1"/>
  <c r="J56" i="1"/>
  <c r="G56" i="1"/>
  <c r="M54" i="1"/>
  <c r="O53" i="1"/>
  <c r="P53" i="1" s="1"/>
  <c r="J53" i="1"/>
  <c r="K53" i="1" s="1"/>
  <c r="M53" i="1" s="1"/>
  <c r="H53" i="1"/>
  <c r="G53" i="1"/>
  <c r="O52" i="1"/>
  <c r="P52" i="1" s="1"/>
  <c r="J52" i="1"/>
  <c r="K52" i="1" s="1"/>
  <c r="H52" i="1"/>
  <c r="G52" i="1"/>
  <c r="O49" i="1"/>
  <c r="P49" i="1" s="1"/>
  <c r="J49" i="1"/>
  <c r="H49" i="1"/>
  <c r="G49" i="1"/>
  <c r="O48" i="1"/>
  <c r="P48" i="1" s="1"/>
  <c r="J48" i="1"/>
  <c r="H48" i="1"/>
  <c r="G48" i="1"/>
  <c r="O47" i="1"/>
  <c r="P47" i="1" s="1"/>
  <c r="J47" i="1"/>
  <c r="H47" i="1"/>
  <c r="G47" i="1"/>
  <c r="O46" i="1"/>
  <c r="P46" i="1" s="1"/>
  <c r="J46" i="1"/>
  <c r="H46" i="1"/>
  <c r="G46" i="1"/>
  <c r="O45" i="1"/>
  <c r="P45" i="1" s="1"/>
  <c r="J45" i="1"/>
  <c r="H45" i="1"/>
  <c r="G45" i="1"/>
  <c r="O44" i="1"/>
  <c r="P44" i="1" s="1"/>
  <c r="J44" i="1"/>
  <c r="H44" i="1"/>
  <c r="G44" i="1"/>
  <c r="O43" i="1"/>
  <c r="P43" i="1" s="1"/>
  <c r="J43" i="1"/>
  <c r="H43" i="1"/>
  <c r="K43" i="1" s="1"/>
  <c r="M43" i="1" s="1"/>
  <c r="G43" i="1"/>
  <c r="O42" i="1"/>
  <c r="P42" i="1" s="1"/>
  <c r="J42" i="1"/>
  <c r="H42" i="1"/>
  <c r="G42" i="1"/>
  <c r="O41" i="1"/>
  <c r="P41" i="1" s="1"/>
  <c r="J41" i="1"/>
  <c r="H41" i="1"/>
  <c r="K41" i="1" s="1"/>
  <c r="M41" i="1" s="1"/>
  <c r="G41" i="1"/>
  <c r="O38" i="1"/>
  <c r="P38" i="1" s="1"/>
  <c r="I38" i="1"/>
  <c r="K38" i="1" s="1"/>
  <c r="H38" i="1"/>
  <c r="G38" i="1"/>
  <c r="O37" i="1"/>
  <c r="P37" i="1" s="1"/>
  <c r="J37" i="1"/>
  <c r="I37" i="1"/>
  <c r="H37" i="1"/>
  <c r="K37" i="1" s="1"/>
  <c r="G37" i="1"/>
  <c r="J36" i="1"/>
  <c r="I36" i="1"/>
  <c r="O36" i="1" s="1"/>
  <c r="P36" i="1" s="1"/>
  <c r="H36" i="1"/>
  <c r="K36" i="1" s="1"/>
  <c r="G36" i="1"/>
  <c r="L35" i="1"/>
  <c r="J35" i="1"/>
  <c r="I35" i="1"/>
  <c r="O35" i="1" s="1"/>
  <c r="P35" i="1" s="1"/>
  <c r="H35" i="1"/>
  <c r="K35" i="1" s="1"/>
  <c r="M35" i="1" s="1"/>
  <c r="G35" i="1"/>
  <c r="K34" i="1"/>
  <c r="J34" i="1"/>
  <c r="I34" i="1"/>
  <c r="O34" i="1" s="1"/>
  <c r="P34" i="1" s="1"/>
  <c r="H34" i="1"/>
  <c r="G34" i="1"/>
  <c r="O31" i="1"/>
  <c r="P31" i="1" s="1"/>
  <c r="J31" i="1"/>
  <c r="H31" i="1"/>
  <c r="K31" i="1" s="1"/>
  <c r="L31" i="1" s="1"/>
  <c r="G31" i="1"/>
  <c r="M31" i="1" s="1"/>
  <c r="O30" i="1"/>
  <c r="P30" i="1" s="1"/>
  <c r="K30" i="1"/>
  <c r="M30" i="1" s="1"/>
  <c r="J30" i="1"/>
  <c r="H30" i="1"/>
  <c r="O29" i="1"/>
  <c r="P29" i="1" s="1"/>
  <c r="K29" i="1"/>
  <c r="J29" i="1"/>
  <c r="H29" i="1"/>
  <c r="G29" i="1"/>
  <c r="L29" i="1" s="1"/>
  <c r="P28" i="1"/>
  <c r="O28" i="1"/>
  <c r="K28" i="1"/>
  <c r="M28" i="1" s="1"/>
  <c r="J28" i="1"/>
  <c r="H28" i="1"/>
  <c r="G28" i="1"/>
  <c r="P27" i="1"/>
  <c r="O27" i="1"/>
  <c r="J27" i="1"/>
  <c r="K27" i="1" s="1"/>
  <c r="H27" i="1"/>
  <c r="G27" i="1"/>
  <c r="O26" i="1"/>
  <c r="P26" i="1" s="1"/>
  <c r="J26" i="1"/>
  <c r="K26" i="1" s="1"/>
  <c r="H26" i="1"/>
  <c r="G26" i="1"/>
  <c r="O25" i="1"/>
  <c r="P25" i="1" s="1"/>
  <c r="K25" i="1"/>
  <c r="M25" i="1" s="1"/>
  <c r="J25" i="1"/>
  <c r="P24" i="1"/>
  <c r="O24" i="1"/>
  <c r="J24" i="1"/>
  <c r="H24" i="1"/>
  <c r="K24" i="1" s="1"/>
  <c r="G24" i="1"/>
  <c r="P23" i="1"/>
  <c r="O23" i="1"/>
  <c r="J23" i="1"/>
  <c r="H23" i="1"/>
  <c r="K23" i="1" s="1"/>
  <c r="G23" i="1"/>
  <c r="P22" i="1"/>
  <c r="O22" i="1"/>
  <c r="J22" i="1"/>
  <c r="H22" i="1"/>
  <c r="K22" i="1" s="1"/>
  <c r="G22" i="1"/>
  <c r="P21" i="1"/>
  <c r="O21" i="1"/>
  <c r="J21" i="1"/>
  <c r="H21" i="1"/>
  <c r="K21" i="1" s="1"/>
  <c r="G21" i="1"/>
  <c r="P20" i="1"/>
  <c r="O20" i="1"/>
  <c r="J20" i="1"/>
  <c r="H20" i="1"/>
  <c r="K20" i="1" s="1"/>
  <c r="G20" i="1"/>
  <c r="P19" i="1"/>
  <c r="O19" i="1"/>
  <c r="J19" i="1"/>
  <c r="H19" i="1"/>
  <c r="K19" i="1" s="1"/>
  <c r="G19" i="1"/>
  <c r="P18" i="1"/>
  <c r="O18" i="1"/>
  <c r="J18" i="1"/>
  <c r="H18" i="1"/>
  <c r="K18" i="1" s="1"/>
  <c r="G18" i="1"/>
  <c r="O15" i="1"/>
  <c r="P15" i="1" s="1"/>
  <c r="J15" i="1"/>
  <c r="H15" i="1"/>
  <c r="K15" i="1" s="1"/>
  <c r="G15" i="1"/>
  <c r="O14" i="1"/>
  <c r="P14" i="1" s="1"/>
  <c r="J14" i="1"/>
  <c r="H14" i="1"/>
  <c r="K14" i="1" s="1"/>
  <c r="G14" i="1"/>
  <c r="P13" i="1"/>
  <c r="O13" i="1"/>
  <c r="J13" i="1"/>
  <c r="G13" i="1"/>
  <c r="P12" i="1"/>
  <c r="O12" i="1"/>
  <c r="J12" i="1"/>
  <c r="K12" i="1" s="1"/>
  <c r="H12" i="1"/>
  <c r="G12" i="1"/>
  <c r="O11" i="1"/>
  <c r="P11" i="1" s="1"/>
  <c r="J11" i="1"/>
  <c r="H11" i="1"/>
  <c r="K11" i="1" s="1"/>
  <c r="G11" i="1"/>
  <c r="O10" i="1"/>
  <c r="P10" i="1" s="1"/>
  <c r="J10" i="1"/>
  <c r="H10" i="1"/>
  <c r="K10" i="1" s="1"/>
  <c r="L10" i="1" s="1"/>
  <c r="G10" i="1"/>
  <c r="P9" i="1"/>
  <c r="O9" i="1"/>
  <c r="L9" i="1"/>
  <c r="J9" i="1"/>
  <c r="H9" i="1"/>
  <c r="K9" i="1" s="1"/>
  <c r="M9" i="1" s="1"/>
  <c r="G9" i="1"/>
  <c r="P8" i="1"/>
  <c r="O8" i="1"/>
  <c r="J8" i="1"/>
  <c r="H8" i="1"/>
  <c r="K8" i="1" s="1"/>
  <c r="M8" i="1" s="1"/>
  <c r="G8" i="1"/>
  <c r="P7" i="1"/>
  <c r="O7" i="1"/>
  <c r="L7" i="1"/>
  <c r="J7" i="1"/>
  <c r="H7" i="1"/>
  <c r="K7" i="1" s="1"/>
  <c r="M7" i="1" s="1"/>
  <c r="G7" i="1"/>
  <c r="P6" i="1"/>
  <c r="O6" i="1"/>
  <c r="K6" i="1"/>
  <c r="J6" i="1"/>
  <c r="H6" i="1"/>
  <c r="G6" i="1"/>
  <c r="L6" i="1" s="1"/>
  <c r="J5" i="1"/>
  <c r="I5" i="1"/>
  <c r="O5" i="1" s="1"/>
  <c r="P5" i="1" s="1"/>
  <c r="H5" i="1"/>
  <c r="K5" i="1" s="1"/>
  <c r="M5" i="1" s="1"/>
  <c r="G5" i="1"/>
  <c r="O4" i="1"/>
  <c r="P4" i="1" s="1"/>
  <c r="J4" i="1"/>
  <c r="H4" i="1"/>
  <c r="K4" i="1" s="1"/>
  <c r="G4" i="1"/>
  <c r="A1" i="1"/>
  <c r="L4" i="1" l="1"/>
  <c r="L5" i="1"/>
  <c r="M6" i="1"/>
  <c r="L11" i="1"/>
  <c r="M11" i="1"/>
  <c r="L20" i="1"/>
  <c r="M20" i="1"/>
  <c r="L24" i="1"/>
  <c r="M24" i="1"/>
  <c r="M38" i="1"/>
  <c r="L38" i="1"/>
  <c r="L19" i="1"/>
  <c r="M19" i="1"/>
  <c r="L8" i="1"/>
  <c r="M10" i="1"/>
  <c r="L12" i="1"/>
  <c r="M12" i="1"/>
  <c r="L21" i="1"/>
  <c r="M21" i="1"/>
  <c r="M26" i="1"/>
  <c r="L26" i="1"/>
  <c r="M27" i="1"/>
  <c r="L27" i="1"/>
  <c r="L23" i="1"/>
  <c r="M23" i="1"/>
  <c r="M4" i="1"/>
  <c r="L14" i="1"/>
  <c r="M14" i="1"/>
  <c r="L15" i="1"/>
  <c r="M15" i="1"/>
  <c r="M16" i="1"/>
  <c r="L18" i="1"/>
  <c r="M18" i="1"/>
  <c r="L22" i="1"/>
  <c r="M22" i="1"/>
  <c r="M36" i="1"/>
  <c r="L36" i="1"/>
  <c r="M37" i="1"/>
  <c r="L37" i="1"/>
  <c r="L34" i="1"/>
  <c r="M50" i="1"/>
  <c r="M52" i="1"/>
  <c r="G133" i="1"/>
  <c r="L28" i="1"/>
  <c r="M34" i="1"/>
  <c r="L52" i="1"/>
  <c r="M64" i="1"/>
  <c r="L64" i="1"/>
  <c r="M68" i="1"/>
  <c r="L68" i="1"/>
  <c r="M72" i="1"/>
  <c r="L72" i="1"/>
  <c r="H13" i="1"/>
  <c r="K13" i="1" s="1"/>
  <c r="M32" i="1"/>
  <c r="L41" i="1"/>
  <c r="K42" i="1"/>
  <c r="L43" i="1"/>
  <c r="K44" i="1"/>
  <c r="L53" i="1"/>
  <c r="M62" i="1"/>
  <c r="L66" i="1"/>
  <c r="L67" i="1"/>
  <c r="L70" i="1"/>
  <c r="L71" i="1"/>
  <c r="L74" i="1"/>
  <c r="L75" i="1"/>
  <c r="K83" i="1"/>
  <c r="L83" i="1" s="1"/>
  <c r="L92" i="1"/>
  <c r="K126" i="1"/>
  <c r="E126" i="1" s="1"/>
  <c r="E124" i="1"/>
  <c r="M29" i="1"/>
  <c r="K45" i="1"/>
  <c r="K46" i="1"/>
  <c r="K47" i="1"/>
  <c r="K48" i="1"/>
  <c r="K49" i="1"/>
  <c r="M65" i="1"/>
  <c r="L65" i="1"/>
  <c r="M69" i="1"/>
  <c r="L69" i="1"/>
  <c r="M73" i="1"/>
  <c r="L73" i="1"/>
  <c r="M76" i="1"/>
  <c r="L78" i="1"/>
  <c r="K91" i="1"/>
  <c r="L91" i="1" s="1"/>
  <c r="K106" i="1"/>
  <c r="L106" i="1" s="1"/>
  <c r="G137" i="1"/>
  <c r="J107" i="1"/>
  <c r="K107" i="1" s="1"/>
  <c r="L107" i="1" s="1"/>
  <c r="E137" i="1"/>
  <c r="M48" i="1" l="1"/>
  <c r="L48" i="1"/>
  <c r="M42" i="1"/>
  <c r="L42" i="1"/>
  <c r="L13" i="1"/>
  <c r="M13" i="1"/>
  <c r="M47" i="1"/>
  <c r="L47" i="1"/>
  <c r="M2" i="1"/>
  <c r="M46" i="1"/>
  <c r="L46" i="1"/>
  <c r="P125" i="1"/>
  <c r="M44" i="1"/>
  <c r="L44" i="1"/>
  <c r="M39" i="1"/>
  <c r="M49" i="1"/>
  <c r="L49" i="1"/>
  <c r="M45" i="1"/>
  <c r="L45" i="1"/>
  <c r="K124" i="1"/>
  <c r="K125" i="1" s="1"/>
  <c r="P124" i="1" l="1"/>
  <c r="P126" i="1" s="1"/>
  <c r="P39" i="1" l="1"/>
  <c r="P2" i="1"/>
  <c r="K127" i="1"/>
  <c r="E127" i="1" s="1"/>
  <c r="P62" i="1" s="1"/>
  <c r="P54" i="1"/>
  <c r="P76" i="1"/>
  <c r="P16" i="1"/>
  <c r="P50" i="1"/>
  <c r="P32" i="1"/>
  <c r="P127" i="1" l="1"/>
</calcChain>
</file>

<file path=xl/sharedStrings.xml><?xml version="1.0" encoding="utf-8"?>
<sst xmlns="http://schemas.openxmlformats.org/spreadsheetml/2006/main" count="447" uniqueCount="291">
  <si>
    <t>Big/ Mid Tier Precious Metals Miners, Physical Metals &amp; Royalty's (10-15 open postions)</t>
  </si>
  <si>
    <t>Allocation</t>
  </si>
  <si>
    <t>Investment</t>
  </si>
  <si>
    <t>Ticker</t>
  </si>
  <si>
    <t>Buy date</t>
  </si>
  <si>
    <t>Shares</t>
  </si>
  <si>
    <t>exch. rate buy</t>
  </si>
  <si>
    <t>Buy price</t>
  </si>
  <si>
    <t>Euro spent</t>
  </si>
  <si>
    <t>Price now</t>
  </si>
  <si>
    <t>Dividends</t>
  </si>
  <si>
    <t>exch. Rate now</t>
  </si>
  <si>
    <t>Euro now</t>
  </si>
  <si>
    <t>Return%</t>
  </si>
  <si>
    <t>Return€</t>
  </si>
  <si>
    <t>high</t>
  </si>
  <si>
    <t>Stop</t>
  </si>
  <si>
    <t>S.S.I.</t>
  </si>
  <si>
    <t>1. Sandstorm Gold ltd</t>
  </si>
  <si>
    <t>SAND</t>
  </si>
  <si>
    <t>2. Wheathon Precious Metals</t>
  </si>
  <si>
    <t>WPM</t>
  </si>
  <si>
    <t>3.Aurcana Silver Corp</t>
  </si>
  <si>
    <t>AUN</t>
  </si>
  <si>
    <t xml:space="preserve">4.VOX Royalty Corp </t>
  </si>
  <si>
    <t>VOX</t>
  </si>
  <si>
    <t>5. Silvercrest Metals Inc</t>
  </si>
  <si>
    <t>SILV</t>
  </si>
  <si>
    <t>6. Sprott Physical Silver Trust</t>
  </si>
  <si>
    <t>PSLV</t>
  </si>
  <si>
    <t>7. Sprott Physical Platina &amp; Pal Trust</t>
  </si>
  <si>
    <t>SPPP</t>
  </si>
  <si>
    <t>8. Empress Royalty Corp</t>
  </si>
  <si>
    <t>EMPR</t>
  </si>
  <si>
    <t>9. Gold Royalty Corp (+ ELY)</t>
  </si>
  <si>
    <t>GROY</t>
  </si>
  <si>
    <t>10. Metalla Royalty Corp</t>
  </si>
  <si>
    <t>MTA</t>
  </si>
  <si>
    <t>11. Endeavour Silver Corp</t>
  </si>
  <si>
    <t>EXK</t>
  </si>
  <si>
    <t>12. Sailfish Royalties Corp</t>
  </si>
  <si>
    <t>FISH</t>
  </si>
  <si>
    <t>Golden eggs Basket (15-20 open positions)</t>
  </si>
  <si>
    <t xml:space="preserve">1.Tudor Gold Corp </t>
  </si>
  <si>
    <t>TUD^</t>
  </si>
  <si>
    <t>4. Karora Resources Inc</t>
  </si>
  <si>
    <t>KRR</t>
  </si>
  <si>
    <t>7.Silver Viper Minerals</t>
  </si>
  <si>
    <t>VIPR</t>
  </si>
  <si>
    <t>11. KORE Mining Ltd</t>
  </si>
  <si>
    <t>KORE</t>
  </si>
  <si>
    <t>12. Fortune Bay Corp</t>
  </si>
  <si>
    <t>FOR</t>
  </si>
  <si>
    <t>15. Reyna Silver Corp</t>
  </si>
  <si>
    <t>RSLV</t>
  </si>
  <si>
    <t>16. Vizsla Resources  Corp</t>
  </si>
  <si>
    <t>VZLA</t>
  </si>
  <si>
    <t>16.a Vizsla Copper Corp</t>
  </si>
  <si>
    <t>VCU</t>
  </si>
  <si>
    <t>SPIN OUT</t>
  </si>
  <si>
    <t>17. Plato Gold Corp</t>
  </si>
  <si>
    <t>PGC^</t>
  </si>
  <si>
    <t>18. Ascot Resources</t>
  </si>
  <si>
    <t>AOT^</t>
  </si>
  <si>
    <t>20. Silver One Resources Inc</t>
  </si>
  <si>
    <t>SVE</t>
  </si>
  <si>
    <t>21. First Mining Gold Corp</t>
  </si>
  <si>
    <t>FF</t>
  </si>
  <si>
    <t>21 a. Treasure Metals Inc</t>
  </si>
  <si>
    <t>TML</t>
  </si>
  <si>
    <t>22. NuLegacy Gold</t>
  </si>
  <si>
    <t>NUG</t>
  </si>
  <si>
    <t>Boring Dividend Income (10-15 open positions)</t>
  </si>
  <si>
    <t>Gamco Global G&amp;Nat res</t>
  </si>
  <si>
    <t>GGN</t>
  </si>
  <si>
    <t>Gamco Nat res, Gold &amp; inc trust</t>
  </si>
  <si>
    <t>GNT</t>
  </si>
  <si>
    <t>Altria</t>
  </si>
  <si>
    <t>MO</t>
  </si>
  <si>
    <t>Reaves Utility Income Fund</t>
  </si>
  <si>
    <t>UTG</t>
  </si>
  <si>
    <t>Royal Dutch Shell</t>
  </si>
  <si>
    <t>RDSA</t>
  </si>
  <si>
    <t>Uranium (10-15 open positions)</t>
  </si>
  <si>
    <t>6. Denison Mines Corp</t>
  </si>
  <si>
    <t>DNN</t>
  </si>
  <si>
    <t>7. Global Atomic</t>
  </si>
  <si>
    <t>GLO</t>
  </si>
  <si>
    <t>8. Energy Fuels</t>
  </si>
  <si>
    <t>UUUU</t>
  </si>
  <si>
    <t>10. Encore Energy Corp</t>
  </si>
  <si>
    <t>EU</t>
  </si>
  <si>
    <t>14. Boss Energy Ltd</t>
  </si>
  <si>
    <t>BOE</t>
  </si>
  <si>
    <t>15. UEX Corporation</t>
  </si>
  <si>
    <t>UEX</t>
  </si>
  <si>
    <t>16. Fission Uranium Corp</t>
  </si>
  <si>
    <t>FCU</t>
  </si>
  <si>
    <t>17. Virginia Energy Resources</t>
  </si>
  <si>
    <t>VUI</t>
  </si>
  <si>
    <t>18. Deep Yellow Ltd</t>
  </si>
  <si>
    <t>DYL</t>
  </si>
  <si>
    <t>EV-metals &amp; Base Metals (5-10 open positions)</t>
  </si>
  <si>
    <t>6. Nova Royalty Corp</t>
  </si>
  <si>
    <t>NOVR</t>
  </si>
  <si>
    <t>7. Electric Royalties Ltd</t>
  </si>
  <si>
    <t>ELEC</t>
  </si>
  <si>
    <t>Opties</t>
  </si>
  <si>
    <t>Put/Call/Warrant</t>
  </si>
  <si>
    <t>O/C</t>
  </si>
  <si>
    <t>geschreven Put 2022jan $10</t>
  </si>
  <si>
    <t>AG</t>
  </si>
  <si>
    <t>closed</t>
  </si>
  <si>
    <t>geschreven Put 2023jan $7</t>
  </si>
  <si>
    <t>geschreven Put 2023jan $5</t>
  </si>
  <si>
    <t>geschreven Put 2022feb $10</t>
  </si>
  <si>
    <t xml:space="preserve">Call 2021dec  $20 </t>
  </si>
  <si>
    <t>VIX</t>
  </si>
  <si>
    <t>warrant: 07aug2023 1,5 call</t>
  </si>
  <si>
    <t>Crypto's box, max 10-15 open  positions</t>
  </si>
  <si>
    <t>11. Band Protocol</t>
  </si>
  <si>
    <t>BAND</t>
  </si>
  <si>
    <t>12. Tezos</t>
  </si>
  <si>
    <t>XTZ</t>
  </si>
  <si>
    <t>13. Numeraire</t>
  </si>
  <si>
    <t>NMR</t>
  </si>
  <si>
    <t>FS</t>
  </si>
  <si>
    <t>14. Uniswap</t>
  </si>
  <si>
    <t>UNI</t>
  </si>
  <si>
    <t>15. Sushiswap</t>
  </si>
  <si>
    <t>SUSHI</t>
  </si>
  <si>
    <t>17. EOS</t>
  </si>
  <si>
    <t>EOS</t>
  </si>
  <si>
    <t>19. Decentraland</t>
  </si>
  <si>
    <t>MANA</t>
  </si>
  <si>
    <t>20. AmpleForth Gov token</t>
  </si>
  <si>
    <t>FORTH</t>
  </si>
  <si>
    <t>21. 1inch</t>
  </si>
  <si>
    <t>1INCH</t>
  </si>
  <si>
    <t>22. Internet computer</t>
  </si>
  <si>
    <t>ICP</t>
  </si>
  <si>
    <t>23. Solana</t>
  </si>
  <si>
    <t>SOL</t>
  </si>
  <si>
    <t>24. Maker</t>
  </si>
  <si>
    <t>MKR</t>
  </si>
  <si>
    <t>Free Growth Stocks (FGS)</t>
  </si>
  <si>
    <t>stoploss</t>
  </si>
  <si>
    <t>stop%</t>
  </si>
  <si>
    <t>7B</t>
  </si>
  <si>
    <t>nr</t>
  </si>
  <si>
    <t>2. Innovative Industrial Properties</t>
  </si>
  <si>
    <t>IIPR</t>
  </si>
  <si>
    <t>weed</t>
  </si>
  <si>
    <t>3. Bitcoin</t>
  </si>
  <si>
    <t>BTC</t>
  </si>
  <si>
    <t>crypto</t>
  </si>
  <si>
    <t>4. Pretium Resources Inc</t>
  </si>
  <si>
    <t>PVG</t>
  </si>
  <si>
    <t>precious</t>
  </si>
  <si>
    <t>6. First Majestic Silver</t>
  </si>
  <si>
    <t>8. Franco Nevada</t>
  </si>
  <si>
    <t>FNV</t>
  </si>
  <si>
    <t>9. Sandstorm Gold</t>
  </si>
  <si>
    <t>10. Metella Royalty &amp; Streaming Ltd</t>
  </si>
  <si>
    <t>MTA^%</t>
  </si>
  <si>
    <t>11. Ethereum</t>
  </si>
  <si>
    <t>ETH</t>
  </si>
  <si>
    <t>12.Coeur Mining Inc</t>
  </si>
  <si>
    <t>CDE</t>
  </si>
  <si>
    <t>13. The Graph</t>
  </si>
  <si>
    <t>GRT</t>
  </si>
  <si>
    <t>box</t>
  </si>
  <si>
    <t>15. Defiance Silver Corp</t>
  </si>
  <si>
    <t>DEF</t>
  </si>
  <si>
    <t>basket</t>
  </si>
  <si>
    <t>17. Stellar Lumens</t>
  </si>
  <si>
    <t>XLM</t>
  </si>
  <si>
    <t>18. Algorand</t>
  </si>
  <si>
    <t>ALGO</t>
  </si>
  <si>
    <t>19. First Majestic Silver</t>
  </si>
  <si>
    <t>Precious</t>
  </si>
  <si>
    <t>20. Compound</t>
  </si>
  <si>
    <t>COMP</t>
  </si>
  <si>
    <t>21. Chainlink</t>
  </si>
  <si>
    <t>LINK</t>
  </si>
  <si>
    <t>22. Cosmos</t>
  </si>
  <si>
    <t>ATOM</t>
  </si>
  <si>
    <t>23. Nexgen Energy</t>
  </si>
  <si>
    <t>NXE^</t>
  </si>
  <si>
    <t xml:space="preserve">bullet </t>
  </si>
  <si>
    <t>24. Uranium Royalty Corp</t>
  </si>
  <si>
    <t>URC^</t>
  </si>
  <si>
    <t>25. Dash</t>
  </si>
  <si>
    <t>DASH</t>
  </si>
  <si>
    <t>26. Ur-Energy Inc</t>
  </si>
  <si>
    <t>URG</t>
  </si>
  <si>
    <t>27. Ivanhoe Mines</t>
  </si>
  <si>
    <t>IVN</t>
  </si>
  <si>
    <t>battery</t>
  </si>
  <si>
    <t>28. Uranium Energy Corp</t>
  </si>
  <si>
    <t>UEC</t>
  </si>
  <si>
    <t>29. Filecoin</t>
  </si>
  <si>
    <t>FIL</t>
  </si>
  <si>
    <t>30. Litecoin</t>
  </si>
  <si>
    <t>LTC</t>
  </si>
  <si>
    <t>31. Bitcoin Cash</t>
  </si>
  <si>
    <t>BCH</t>
  </si>
  <si>
    <t>32. Atico Mining Corp</t>
  </si>
  <si>
    <t>ATY^</t>
  </si>
  <si>
    <t>33. Cardano</t>
  </si>
  <si>
    <t>ADA</t>
  </si>
  <si>
    <t>34. Paladin Energy Ltd</t>
  </si>
  <si>
    <t>PDN</t>
  </si>
  <si>
    <t>35. IsoEnergy Ltd</t>
  </si>
  <si>
    <t>ISO^</t>
  </si>
  <si>
    <t>36. Peninsula Energy Inc</t>
  </si>
  <si>
    <t>PEN</t>
  </si>
  <si>
    <t>37. Bannerman Resources ltd</t>
  </si>
  <si>
    <t>BMN</t>
  </si>
  <si>
    <t>38. Anfield Energy Inc</t>
  </si>
  <si>
    <t>AEC</t>
  </si>
  <si>
    <t>Closed positions</t>
  </si>
  <si>
    <t>Results</t>
  </si>
  <si>
    <t>ticker</t>
  </si>
  <si>
    <t>date</t>
  </si>
  <si>
    <t>profit</t>
  </si>
  <si>
    <t>Resultaat 2018-20</t>
  </si>
  <si>
    <t>Resultaat Q1 2021</t>
  </si>
  <si>
    <t>Resultaat Q2 2021</t>
  </si>
  <si>
    <t>Resultaat Q3 2021</t>
  </si>
  <si>
    <t>Currency rates</t>
  </si>
  <si>
    <t>Amerikaanse dollar</t>
  </si>
  <si>
    <t>$</t>
  </si>
  <si>
    <t>Canadese dollar</t>
  </si>
  <si>
    <t>CAD</t>
  </si>
  <si>
    <t>Australische dollar</t>
  </si>
  <si>
    <t>AUD</t>
  </si>
  <si>
    <t>Engelse pond</t>
  </si>
  <si>
    <t>£</t>
  </si>
  <si>
    <t>Total Finance</t>
  </si>
  <si>
    <t>CASH SPENT ON STOCKS</t>
  </si>
  <si>
    <t>PROFIT GENERATED/LOST ON STOCKS</t>
  </si>
  <si>
    <t>Capital now</t>
  </si>
  <si>
    <t>STARTCAPITAL 2020</t>
  </si>
  <si>
    <t>PROFIT/LOSS STOCKS IN PORTFOLIO</t>
  </si>
  <si>
    <t>CASH Allocation</t>
  </si>
  <si>
    <t>STARTCAPITAL 2020 + PROFIT STOCKS SOLD</t>
  </si>
  <si>
    <t>PROFIT/LOSS STOCKS SOLD</t>
  </si>
  <si>
    <t>CASH%</t>
  </si>
  <si>
    <t>STARTCAPITAL 2020 + PROFIT STOCKS SOLD+PROFIT PORTFOLIO</t>
  </si>
  <si>
    <t>TOTAL RENDEMENT 2018-21</t>
  </si>
  <si>
    <t>CHECK</t>
  </si>
  <si>
    <t>Watchlist</t>
  </si>
  <si>
    <t>Investment proposal</t>
  </si>
  <si>
    <t>Focus</t>
  </si>
  <si>
    <t>Rec. Exch rate</t>
  </si>
  <si>
    <t>Rec. Price</t>
  </si>
  <si>
    <t>Euro</t>
  </si>
  <si>
    <t>Target</t>
  </si>
  <si>
    <t>Beurs</t>
  </si>
  <si>
    <t>Buy or Sell</t>
  </si>
  <si>
    <t>Remarks &amp; Reason</t>
  </si>
  <si>
    <t>MPLX LP</t>
  </si>
  <si>
    <t>MPLX</t>
  </si>
  <si>
    <t>NYSE</t>
  </si>
  <si>
    <t>Buy</t>
  </si>
  <si>
    <t>Buy on a dip in oil, be patient/ Big dividends 9%</t>
  </si>
  <si>
    <t>British Tabacco Ltd</t>
  </si>
  <si>
    <t>BATS</t>
  </si>
  <si>
    <t>LSE</t>
  </si>
  <si>
    <t>Buy on a dip on overall market be patient/ Big dividends</t>
  </si>
  <si>
    <t>B2Gold Corporation</t>
  </si>
  <si>
    <t>BTG</t>
  </si>
  <si>
    <t>Buy on dip in gold/ gold dividend stock</t>
  </si>
  <si>
    <t>Newmont Corporation</t>
  </si>
  <si>
    <t>NEM</t>
  </si>
  <si>
    <t>BHP group</t>
  </si>
  <si>
    <t>BBL</t>
  </si>
  <si>
    <t>Buy on dip in stock on 200 day SMA/ 10% dividend stock</t>
  </si>
  <si>
    <t xml:space="preserve">Rio Tinto </t>
  </si>
  <si>
    <t>RIO</t>
  </si>
  <si>
    <t>Buy on dip in stock on 200 day SMA/ 14% dividend stock</t>
  </si>
  <si>
    <t>Fortescue Metals</t>
  </si>
  <si>
    <t>FMG</t>
  </si>
  <si>
    <t>ASX</t>
  </si>
  <si>
    <t>Buy on dip in stock on 200 day SMA/ 23% dividend stock</t>
  </si>
  <si>
    <t>Snowline Gold Corp</t>
  </si>
  <si>
    <t>SGD</t>
  </si>
  <si>
    <t>*</t>
  </si>
  <si>
    <t>TSX</t>
  </si>
  <si>
    <t>Buy on recent dip in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</si>
</sst>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_([$€-2]\ * #,##0_);_([$€-2]\ * \(#,##0\);_([$€-2]\ * &quot;-&quot;??_);_(@_)"/>
    <numFmt numFmtId="166" formatCode="0.0%"/>
    <numFmt numFmtId="167" formatCode="0.0000"/>
    <numFmt numFmtId="168" formatCode="_(* #,##0.000_);_(* \(#,##0.000\);_(* &quot;-&quot;??_);_(@_)"/>
    <numFmt numFmtId="169" formatCode="0.000"/>
    <numFmt numFmtId="170" formatCode="_([$€-2]\ * #,##0.00_);_([$€-2]\ * \(#,##0.00\);_([$€-2]\ * &quot;-&quot;??_);_(@_)"/>
    <numFmt numFmtId="171" formatCode="_(* #,##0_);_(* \(#,##0\);_(* &quot;-&quot;??_);_(@_)"/>
    <numFmt numFmtId="172" formatCode="_(* #,##0.0000_);_(* \(#,##0.0000\);_(* &quot;-&quot;??_);_(@_)"/>
    <numFmt numFmtId="173" formatCode="_(&quot;€&quot;\ * #,##0_);_(&quot;€&quot;\ * \(#,##0\);_(&quot;€&quot;\ * &quot;-&quot;??_);_(@_)"/>
    <numFmt numFmtId="174" formatCode="_ [$€-413]\ * #,##0_ ;_ [$€-413]\ * \-#,##0_ ;_ [$€-413]\ * &quot;-&quot;??_ ;_ 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3" fillId="3" borderId="1" xfId="3" applyNumberFormat="1" applyFont="1" applyFill="1" applyBorder="1"/>
    <xf numFmtId="165" fontId="3" fillId="3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9" fontId="3" fillId="3" borderId="1" xfId="3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167" fontId="4" fillId="0" borderId="1" xfId="0" applyNumberFormat="1" applyFont="1" applyBorder="1"/>
    <xf numFmtId="43" fontId="4" fillId="0" borderId="1" xfId="1" applyFont="1" applyBorder="1"/>
    <xf numFmtId="165" fontId="4" fillId="0" borderId="1" xfId="0" applyNumberFormat="1" applyFont="1" applyBorder="1"/>
    <xf numFmtId="2" fontId="5" fillId="4" borderId="5" xfId="0" applyNumberFormat="1" applyFont="1" applyFill="1" applyBorder="1"/>
    <xf numFmtId="2" fontId="4" fillId="0" borderId="1" xfId="0" applyNumberFormat="1" applyFont="1" applyBorder="1"/>
    <xf numFmtId="166" fontId="6" fillId="0" borderId="1" xfId="3" applyNumberFormat="1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166" fontId="7" fillId="0" borderId="1" xfId="3" applyNumberFormat="1" applyFont="1" applyBorder="1"/>
    <xf numFmtId="2" fontId="5" fillId="5" borderId="5" xfId="0" applyNumberFormat="1" applyFont="1" applyFill="1" applyBorder="1"/>
    <xf numFmtId="168" fontId="4" fillId="0" borderId="1" xfId="1" applyNumberFormat="1" applyFont="1" applyBorder="1"/>
    <xf numFmtId="1" fontId="4" fillId="0" borderId="1" xfId="0" applyNumberFormat="1" applyFont="1" applyBorder="1"/>
    <xf numFmtId="2" fontId="5" fillId="4" borderId="1" xfId="0" applyNumberFormat="1" applyFont="1" applyFill="1" applyBorder="1"/>
    <xf numFmtId="0" fontId="7" fillId="0" borderId="1" xfId="3" applyNumberFormat="1" applyFont="1" applyBorder="1"/>
    <xf numFmtId="169" fontId="5" fillId="4" borderId="1" xfId="0" applyNumberFormat="1" applyFont="1" applyFill="1" applyBorder="1"/>
    <xf numFmtId="2" fontId="4" fillId="4" borderId="1" xfId="0" applyNumberFormat="1" applyFont="1" applyFill="1" applyBorder="1"/>
    <xf numFmtId="43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3" fillId="3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43" fontId="4" fillId="4" borderId="1" xfId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4" borderId="1" xfId="0" applyNumberFormat="1" applyFont="1" applyFill="1" applyBorder="1"/>
    <xf numFmtId="1" fontId="4" fillId="0" borderId="1" xfId="0" applyNumberFormat="1" applyFont="1" applyBorder="1" applyAlignment="1">
      <alignment horizontal="right"/>
    </xf>
    <xf numFmtId="165" fontId="4" fillId="0" borderId="6" xfId="0" applyNumberFormat="1" applyFont="1" applyBorder="1"/>
    <xf numFmtId="0" fontId="4" fillId="0" borderId="6" xfId="0" applyFont="1" applyBorder="1"/>
    <xf numFmtId="167" fontId="4" fillId="0" borderId="6" xfId="0" applyNumberFormat="1" applyFont="1" applyBorder="1"/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9" fontId="4" fillId="0" borderId="1" xfId="0" applyNumberFormat="1" applyFont="1" applyBorder="1"/>
    <xf numFmtId="2" fontId="4" fillId="6" borderId="1" xfId="0" applyNumberFormat="1" applyFont="1" applyFill="1" applyBorder="1" applyAlignment="1">
      <alignment horizontal="right"/>
    </xf>
    <xf numFmtId="1" fontId="4" fillId="6" borderId="1" xfId="0" applyNumberFormat="1" applyFont="1" applyFill="1" applyBorder="1" applyAlignment="1">
      <alignment horizontal="right"/>
    </xf>
    <xf numFmtId="43" fontId="3" fillId="0" borderId="1" xfId="0" applyNumberFormat="1" applyFont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14" fontId="5" fillId="0" borderId="1" xfId="0" applyNumberFormat="1" applyFont="1" applyBorder="1"/>
    <xf numFmtId="43" fontId="5" fillId="0" borderId="1" xfId="0" applyNumberFormat="1" applyFont="1" applyBorder="1"/>
    <xf numFmtId="171" fontId="4" fillId="0" borderId="1" xfId="0" applyNumberFormat="1" applyFont="1" applyBorder="1"/>
    <xf numFmtId="172" fontId="4" fillId="0" borderId="1" xfId="0" applyNumberFormat="1" applyFont="1" applyBorder="1"/>
    <xf numFmtId="43" fontId="4" fillId="0" borderId="1" xfId="0" applyNumberFormat="1" applyFont="1" applyBorder="1"/>
    <xf numFmtId="165" fontId="4" fillId="0" borderId="1" xfId="2" applyNumberFormat="1" applyFont="1" applyBorder="1"/>
    <xf numFmtId="173" fontId="4" fillId="0" borderId="1" xfId="2" applyNumberFormat="1" applyFont="1" applyBorder="1"/>
    <xf numFmtId="167" fontId="4" fillId="6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7" xfId="0" applyFont="1" applyBorder="1"/>
    <xf numFmtId="167" fontId="3" fillId="0" borderId="1" xfId="0" applyNumberFormat="1" applyFont="1" applyBorder="1"/>
    <xf numFmtId="43" fontId="3" fillId="0" borderId="1" xfId="1" applyFont="1" applyBorder="1"/>
    <xf numFmtId="165" fontId="3" fillId="0" borderId="1" xfId="0" applyNumberFormat="1" applyFont="1" applyBorder="1"/>
    <xf numFmtId="2" fontId="9" fillId="0" borderId="5" xfId="0" applyNumberFormat="1" applyFont="1" applyBorder="1"/>
    <xf numFmtId="166" fontId="4" fillId="0" borderId="1" xfId="3" applyNumberFormat="1" applyFont="1" applyBorder="1"/>
    <xf numFmtId="2" fontId="5" fillId="0" borderId="5" xfId="0" applyNumberFormat="1" applyFont="1" applyBorder="1"/>
    <xf numFmtId="2" fontId="5" fillId="0" borderId="1" xfId="0" applyNumberFormat="1" applyFon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7" fontId="4" fillId="4" borderId="1" xfId="0" applyNumberFormat="1" applyFont="1" applyFill="1" applyBorder="1"/>
    <xf numFmtId="43" fontId="4" fillId="0" borderId="1" xfId="1" applyFont="1" applyFill="1" applyBorder="1"/>
    <xf numFmtId="43" fontId="4" fillId="0" borderId="1" xfId="1" applyFont="1" applyFill="1" applyBorder="1" applyAlignment="1">
      <alignment horizontal="right"/>
    </xf>
    <xf numFmtId="0" fontId="10" fillId="0" borderId="1" xfId="0" applyFont="1" applyBorder="1"/>
    <xf numFmtId="173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174" fontId="3" fillId="0" borderId="1" xfId="0" applyNumberFormat="1" applyFont="1" applyBorder="1" applyAlignment="1">
      <alignment horizontal="left"/>
    </xf>
    <xf numFmtId="173" fontId="3" fillId="0" borderId="1" xfId="2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4" fontId="3" fillId="0" borderId="1" xfId="0" applyNumberFormat="1" applyFont="1" applyBorder="1" applyAlignment="1">
      <alignment horizontal="center"/>
    </xf>
    <xf numFmtId="174" fontId="3" fillId="0" borderId="1" xfId="0" applyNumberFormat="1" applyFont="1" applyBorder="1"/>
    <xf numFmtId="174" fontId="3" fillId="0" borderId="1" xfId="3" applyNumberFormat="1" applyFont="1" applyBorder="1" applyAlignment="1">
      <alignment horizontal="right"/>
    </xf>
    <xf numFmtId="9" fontId="3" fillId="0" borderId="1" xfId="3" applyFont="1" applyBorder="1" applyAlignment="1">
      <alignment horizontal="right"/>
    </xf>
    <xf numFmtId="166" fontId="3" fillId="0" borderId="1" xfId="3" applyNumberFormat="1" applyFont="1" applyBorder="1"/>
    <xf numFmtId="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71" fontId="4" fillId="0" borderId="1" xfId="1" applyNumberFormat="1" applyFont="1" applyFill="1" applyBorder="1"/>
    <xf numFmtId="171" fontId="4" fillId="0" borderId="1" xfId="1" applyNumberFormat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167" fontId="6" fillId="0" borderId="1" xfId="0" applyNumberFormat="1" applyFont="1" applyBorder="1"/>
    <xf numFmtId="165" fontId="6" fillId="0" borderId="1" xfId="0" applyNumberFormat="1" applyFont="1" applyBorder="1"/>
    <xf numFmtId="43" fontId="6" fillId="0" borderId="1" xfId="1" applyFont="1" applyFill="1" applyBorder="1" applyAlignment="1">
      <alignment horizontal="right"/>
    </xf>
    <xf numFmtId="167" fontId="7" fillId="0" borderId="1" xfId="0" applyNumberFormat="1" applyFont="1" applyBorder="1"/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08d4e1cd3418f22/Documenten/1.%20Tabellen%20voor%20nieuws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Highscore List"/>
      <sheetName val="6B 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1.1598237067965669</v>
          </cell>
          <cell r="G3">
            <v>3.71</v>
          </cell>
          <cell r="J3">
            <v>1.07</v>
          </cell>
          <cell r="M3">
            <v>3.9</v>
          </cell>
          <cell r="P3">
            <v>0.53</v>
          </cell>
          <cell r="S3">
            <v>234.18</v>
          </cell>
        </row>
        <row r="4">
          <cell r="D4">
            <v>1.4675667742882301</v>
          </cell>
          <cell r="G4">
            <v>5.09</v>
          </cell>
          <cell r="M4">
            <v>1.51</v>
          </cell>
          <cell r="P4">
            <v>2.86</v>
          </cell>
          <cell r="S4">
            <v>9.67</v>
          </cell>
        </row>
        <row r="5">
          <cell r="D5">
            <v>1.5984654731457799</v>
          </cell>
          <cell r="G5">
            <v>45.86</v>
          </cell>
          <cell r="J5">
            <v>0.03</v>
          </cell>
          <cell r="M5">
            <v>3.26</v>
          </cell>
          <cell r="P5">
            <v>0.4</v>
          </cell>
        </row>
        <row r="6">
          <cell r="D6">
            <v>0.85623769158318352</v>
          </cell>
          <cell r="G6">
            <v>32.65</v>
          </cell>
          <cell r="M6">
            <v>6.82</v>
          </cell>
          <cell r="S6">
            <v>11.34</v>
          </cell>
          <cell r="W6">
            <v>28.94</v>
          </cell>
        </row>
        <row r="7">
          <cell r="G7">
            <v>19.425999999999998</v>
          </cell>
          <cell r="J7">
            <v>5.7</v>
          </cell>
          <cell r="M7">
            <v>0.27</v>
          </cell>
          <cell r="W7">
            <v>2539.5</v>
          </cell>
        </row>
        <row r="8">
          <cell r="J8">
            <v>36.97</v>
          </cell>
          <cell r="M8">
            <v>1.74</v>
          </cell>
          <cell r="S8">
            <v>127.49</v>
          </cell>
          <cell r="W8">
            <v>53.56</v>
          </cell>
        </row>
        <row r="9">
          <cell r="J9">
            <v>0.71</v>
          </cell>
          <cell r="M9">
            <v>0.9</v>
          </cell>
          <cell r="S9">
            <v>5.7</v>
          </cell>
          <cell r="W9">
            <v>3.39</v>
          </cell>
        </row>
        <row r="10">
          <cell r="J10">
            <v>3.09</v>
          </cell>
          <cell r="M10">
            <v>0.125</v>
          </cell>
          <cell r="S10">
            <v>6.82</v>
          </cell>
          <cell r="W10">
            <v>50.61</v>
          </cell>
        </row>
        <row r="11">
          <cell r="J11">
            <v>6.98</v>
          </cell>
          <cell r="M11">
            <v>0.37</v>
          </cell>
          <cell r="S11">
            <v>6.23</v>
          </cell>
          <cell r="W11">
            <v>69.45</v>
          </cell>
        </row>
        <row r="12">
          <cell r="J12">
            <v>0.38</v>
          </cell>
          <cell r="M12">
            <v>0.23499999999999999</v>
          </cell>
          <cell r="S12">
            <v>0.46500000000000002</v>
          </cell>
          <cell r="W12">
            <v>14.57</v>
          </cell>
        </row>
        <row r="13">
          <cell r="J13">
            <v>7.82</v>
          </cell>
          <cell r="M13">
            <v>0.435</v>
          </cell>
          <cell r="W13">
            <v>0.42</v>
          </cell>
        </row>
        <row r="14">
          <cell r="J14">
            <v>14.36</v>
          </cell>
          <cell r="M14">
            <v>0.98</v>
          </cell>
          <cell r="S14">
            <v>4.92</v>
          </cell>
        </row>
        <row r="15">
          <cell r="J15">
            <v>0.26</v>
          </cell>
          <cell r="T15">
            <v>4.9854241267977697</v>
          </cell>
        </row>
        <row r="16">
          <cell r="J16">
            <v>5.0199999999999996</v>
          </cell>
          <cell r="S16">
            <v>1.69</v>
          </cell>
        </row>
        <row r="17">
          <cell r="J17">
            <v>0.29499999999999998</v>
          </cell>
          <cell r="S17">
            <v>8.1</v>
          </cell>
        </row>
        <row r="18">
          <cell r="J18">
            <v>0.71</v>
          </cell>
          <cell r="S18">
            <v>3.01</v>
          </cell>
        </row>
        <row r="19">
          <cell r="J19">
            <v>4.07</v>
          </cell>
          <cell r="S19">
            <v>0.72</v>
          </cell>
        </row>
        <row r="20">
          <cell r="J20">
            <v>1.25</v>
          </cell>
          <cell r="S20">
            <v>0.22500000000000001</v>
          </cell>
        </row>
        <row r="22">
          <cell r="J22">
            <v>2.25</v>
          </cell>
        </row>
        <row r="25">
          <cell r="J25">
            <v>3.27</v>
          </cell>
        </row>
        <row r="27">
          <cell r="J27">
            <v>0.44</v>
          </cell>
        </row>
        <row r="30">
          <cell r="J30">
            <v>0.39</v>
          </cell>
        </row>
        <row r="31">
          <cell r="J31">
            <v>0.56999999999999995</v>
          </cell>
        </row>
        <row r="34">
          <cell r="J34">
            <v>0.62</v>
          </cell>
        </row>
        <row r="35">
          <cell r="J35">
            <v>2.2599999999999998</v>
          </cell>
        </row>
        <row r="36">
          <cell r="J36">
            <v>5.5E-2</v>
          </cell>
        </row>
      </sheetData>
      <sheetData sheetId="1">
        <row r="2">
          <cell r="C2">
            <v>41145.921699999999</v>
          </cell>
        </row>
        <row r="3">
          <cell r="C3">
            <v>2833.6350000000002</v>
          </cell>
        </row>
        <row r="4">
          <cell r="C4">
            <v>143.5419</v>
          </cell>
        </row>
        <row r="5">
          <cell r="C5">
            <v>466.572</v>
          </cell>
        </row>
        <row r="6">
          <cell r="C6">
            <v>1.91</v>
          </cell>
        </row>
        <row r="7">
          <cell r="C7">
            <v>22.105875000000001</v>
          </cell>
        </row>
        <row r="8">
          <cell r="C8">
            <v>6.931912500000001</v>
          </cell>
        </row>
        <row r="9">
          <cell r="C9">
            <v>5.99</v>
          </cell>
        </row>
        <row r="10">
          <cell r="C10">
            <v>38.191499999999998</v>
          </cell>
        </row>
        <row r="11">
          <cell r="C11">
            <v>9.2028750000000006</v>
          </cell>
        </row>
        <row r="12">
          <cell r="C12">
            <v>3.6552750000000001</v>
          </cell>
        </row>
        <row r="13">
          <cell r="C13">
            <v>0.64359750000000004</v>
          </cell>
        </row>
        <row r="14">
          <cell r="C14">
            <v>11.367749999999999</v>
          </cell>
        </row>
        <row r="15">
          <cell r="C15">
            <v>2.48055</v>
          </cell>
        </row>
        <row r="16">
          <cell r="C16">
            <v>43.47</v>
          </cell>
        </row>
        <row r="17">
          <cell r="C17">
            <v>137.19999999999999</v>
          </cell>
        </row>
        <row r="18">
          <cell r="C18">
            <v>2096.8582500000002</v>
          </cell>
        </row>
        <row r="19">
          <cell r="C19">
            <v>0.61004625000000001</v>
          </cell>
        </row>
        <row r="20">
          <cell r="C20">
            <v>0.25459999999999999</v>
          </cell>
        </row>
        <row r="21">
          <cell r="C21">
            <v>1.5009999999999999</v>
          </cell>
        </row>
        <row r="22">
          <cell r="C22">
            <v>278.58749999999998</v>
          </cell>
        </row>
        <row r="23">
          <cell r="C23">
            <v>22.48</v>
          </cell>
        </row>
        <row r="24">
          <cell r="C24">
            <v>32.89</v>
          </cell>
        </row>
        <row r="25">
          <cell r="C25">
            <v>149.87662499999999</v>
          </cell>
        </row>
        <row r="26">
          <cell r="C26">
            <v>60.823500000000003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P3">
            <v>3.5300000000000002</v>
          </cell>
        </row>
        <row r="4">
          <cell r="P4">
            <v>0.42000000000000004</v>
          </cell>
        </row>
        <row r="5">
          <cell r="P5">
            <v>10.969999999999999</v>
          </cell>
        </row>
        <row r="7">
          <cell r="P7">
            <v>0.60000000000000009</v>
          </cell>
        </row>
        <row r="8">
          <cell r="P8">
            <v>0.39</v>
          </cell>
        </row>
        <row r="11">
          <cell r="P11">
            <v>3.48</v>
          </cell>
        </row>
        <row r="12">
          <cell r="P12">
            <v>1.7999999999999998</v>
          </cell>
        </row>
        <row r="13">
          <cell r="P13">
            <v>1.0999999999999999E-2</v>
          </cell>
        </row>
        <row r="14">
          <cell r="P14">
            <v>0.24</v>
          </cell>
        </row>
        <row r="22">
          <cell r="P22">
            <v>4.9000000000000009E-2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CEE4-6652-7548-87F3-2EFD1D2DE1F3}">
  <dimension ref="A1:P138"/>
  <sheetViews>
    <sheetView tabSelected="1" workbookViewId="0">
      <selection activeCell="Q5" sqref="Q5"/>
    </sheetView>
  </sheetViews>
  <sheetFormatPr baseColWidth="10" defaultRowHeight="16" x14ac:dyDescent="0.2"/>
  <cols>
    <col min="1" max="1" width="21.1640625" bestFit="1" customWidth="1"/>
    <col min="2" max="2" width="5.1640625" bestFit="1" customWidth="1"/>
    <col min="3" max="3" width="6.83203125" bestFit="1" customWidth="1"/>
    <col min="4" max="4" width="4.5" bestFit="1" customWidth="1"/>
    <col min="5" max="5" width="8.6640625" bestFit="1" customWidth="1"/>
    <col min="6" max="6" width="6.1640625" bestFit="1" customWidth="1"/>
    <col min="7" max="7" width="6.6640625" bestFit="1" customWidth="1"/>
    <col min="8" max="9" width="6.1640625" bestFit="1" customWidth="1"/>
    <col min="10" max="10" width="9.33203125" bestFit="1" customWidth="1"/>
    <col min="11" max="13" width="6.33203125" bestFit="1" customWidth="1"/>
    <col min="14" max="14" width="4.1640625" bestFit="1" customWidth="1"/>
    <col min="15" max="15" width="6" bestFit="1" customWidth="1"/>
    <col min="16" max="16" width="6.1640625" bestFit="1" customWidth="1"/>
  </cols>
  <sheetData>
    <row r="1" spans="1:16" x14ac:dyDescent="0.2">
      <c r="A1" s="1">
        <f ca="1">TODAY()</f>
        <v>44471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" t="s">
        <v>0</v>
      </c>
      <c r="B2" s="3"/>
      <c r="C2" s="3"/>
      <c r="D2" s="3"/>
      <c r="E2" s="3"/>
      <c r="F2" s="4"/>
      <c r="G2" s="5"/>
      <c r="H2" s="6"/>
      <c r="I2" s="6"/>
      <c r="J2" s="6"/>
      <c r="K2" s="7"/>
      <c r="L2" s="8" t="s">
        <v>1</v>
      </c>
      <c r="M2" s="9">
        <f>SUM(K4:K15)</f>
        <v>12989.482940000002</v>
      </c>
      <c r="N2" s="10"/>
      <c r="O2" s="11"/>
      <c r="P2" s="12">
        <f>M2/P124</f>
        <v>0.22730523123394991</v>
      </c>
    </row>
    <row r="3" spans="1:16" x14ac:dyDescent="0.2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5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6" t="s">
        <v>14</v>
      </c>
      <c r="N3" s="17" t="s">
        <v>15</v>
      </c>
      <c r="O3" s="18" t="s">
        <v>16</v>
      </c>
      <c r="P3" s="16" t="s">
        <v>17</v>
      </c>
    </row>
    <row r="4" spans="1:16" x14ac:dyDescent="0.2">
      <c r="A4" s="19" t="s">
        <v>18</v>
      </c>
      <c r="B4" s="19" t="s">
        <v>19</v>
      </c>
      <c r="C4" s="20">
        <v>44193</v>
      </c>
      <c r="D4" s="19">
        <v>100</v>
      </c>
      <c r="E4" s="21">
        <v>1.2213000000000001</v>
      </c>
      <c r="F4" s="22">
        <v>6.665</v>
      </c>
      <c r="G4" s="23">
        <f t="shared" ref="G4:G81" si="0">(F4*D4)/E4</f>
        <v>545.72995987881768</v>
      </c>
      <c r="H4" s="24">
        <f>'[1]auto data'!J7</f>
        <v>5.7</v>
      </c>
      <c r="I4" s="25">
        <v>0</v>
      </c>
      <c r="J4" s="21">
        <f>C119</f>
        <v>1.1598237067965669</v>
      </c>
      <c r="K4" s="23">
        <f t="shared" ref="K4:K15" si="1">((H4+I4)/J4)*D4</f>
        <v>491.45400000000006</v>
      </c>
      <c r="L4" s="26">
        <f t="shared" ref="L4:L15" si="2">(K4-G4)/G4</f>
        <v>-9.9455708627156719E-2</v>
      </c>
      <c r="M4" s="27">
        <f t="shared" ref="M4:M15" si="3">K4-G4</f>
        <v>-54.275959878817616</v>
      </c>
      <c r="N4" s="28">
        <v>8.4</v>
      </c>
      <c r="O4" s="29">
        <f>(N4+I4)*0.75</f>
        <v>6.3000000000000007</v>
      </c>
      <c r="P4" s="30">
        <f t="shared" ref="P4:P15" si="4">O4-F4</f>
        <v>-0.36499999999999932</v>
      </c>
    </row>
    <row r="5" spans="1:16" x14ac:dyDescent="0.2">
      <c r="A5" s="19" t="s">
        <v>20</v>
      </c>
      <c r="B5" s="19" t="s">
        <v>21</v>
      </c>
      <c r="C5" s="20">
        <v>44195</v>
      </c>
      <c r="D5" s="19">
        <v>30</v>
      </c>
      <c r="E5" s="21">
        <v>1.2286999999999999</v>
      </c>
      <c r="F5" s="22">
        <v>42.5</v>
      </c>
      <c r="G5" s="23">
        <f t="shared" si="0"/>
        <v>1037.6821030357289</v>
      </c>
      <c r="H5" s="24">
        <f>'[1]auto data'!J8</f>
        <v>36.97</v>
      </c>
      <c r="I5" s="25">
        <f>[1]Dividend!P4</f>
        <v>0.42000000000000004</v>
      </c>
      <c r="J5" s="21">
        <f>C119</f>
        <v>1.1598237067965669</v>
      </c>
      <c r="K5" s="23">
        <f t="shared" si="1"/>
        <v>967.12974000000008</v>
      </c>
      <c r="L5" s="26">
        <f t="shared" si="2"/>
        <v>-6.7990343891764712E-2</v>
      </c>
      <c r="M5" s="27">
        <f t="shared" si="3"/>
        <v>-70.552363035728831</v>
      </c>
      <c r="N5" s="28">
        <v>47.24</v>
      </c>
      <c r="O5" s="29">
        <f>(N5+I5)*0.75</f>
        <v>35.745000000000005</v>
      </c>
      <c r="P5" s="30">
        <f t="shared" si="4"/>
        <v>-6.7549999999999955</v>
      </c>
    </row>
    <row r="6" spans="1:16" x14ac:dyDescent="0.2">
      <c r="A6" s="19" t="s">
        <v>22</v>
      </c>
      <c r="B6" s="19" t="s">
        <v>23</v>
      </c>
      <c r="C6" s="20">
        <v>44204</v>
      </c>
      <c r="D6" s="19">
        <v>700</v>
      </c>
      <c r="E6" s="21">
        <v>1.52</v>
      </c>
      <c r="F6" s="22">
        <v>0.90200000000000002</v>
      </c>
      <c r="G6" s="23">
        <f t="shared" si="0"/>
        <v>415.39473684210526</v>
      </c>
      <c r="H6" s="24">
        <f>'[1]auto data'!J9</f>
        <v>0.71</v>
      </c>
      <c r="I6" s="25">
        <v>0</v>
      </c>
      <c r="J6" s="21">
        <f>C120</f>
        <v>1.4675667742882301</v>
      </c>
      <c r="K6" s="23">
        <f t="shared" si="1"/>
        <v>338.65579999999994</v>
      </c>
      <c r="L6" s="26">
        <f t="shared" si="2"/>
        <v>-0.18473738359201788</v>
      </c>
      <c r="M6" s="27">
        <f t="shared" si="3"/>
        <v>-76.738936842105318</v>
      </c>
      <c r="N6" s="28">
        <v>1.02</v>
      </c>
      <c r="O6" s="29">
        <f>(N6+I6)*0.66</f>
        <v>0.67320000000000002</v>
      </c>
      <c r="P6" s="30">
        <f t="shared" si="4"/>
        <v>-0.2288</v>
      </c>
    </row>
    <row r="7" spans="1:16" x14ac:dyDescent="0.2">
      <c r="A7" s="19" t="s">
        <v>24</v>
      </c>
      <c r="B7" s="19" t="s">
        <v>25</v>
      </c>
      <c r="C7" s="20">
        <v>44210</v>
      </c>
      <c r="D7" s="19">
        <v>200</v>
      </c>
      <c r="E7" s="21">
        <v>1.56</v>
      </c>
      <c r="F7" s="22">
        <v>2.52</v>
      </c>
      <c r="G7" s="23">
        <f t="shared" si="0"/>
        <v>323.07692307692304</v>
      </c>
      <c r="H7" s="24">
        <f>'[1]auto data'!J10</f>
        <v>3.09</v>
      </c>
      <c r="I7" s="25">
        <v>0</v>
      </c>
      <c r="J7" s="21">
        <f>C120</f>
        <v>1.4675667742882301</v>
      </c>
      <c r="K7" s="23">
        <f t="shared" si="1"/>
        <v>421.10519999999997</v>
      </c>
      <c r="L7" s="31">
        <f t="shared" si="2"/>
        <v>0.30342085714285721</v>
      </c>
      <c r="M7" s="27">
        <f t="shared" si="3"/>
        <v>98.02827692307693</v>
      </c>
      <c r="N7" s="28">
        <v>3.15</v>
      </c>
      <c r="O7" s="29">
        <f>(N7+I7)*0.66</f>
        <v>2.0790000000000002</v>
      </c>
      <c r="P7" s="30">
        <f t="shared" si="4"/>
        <v>-0.44099999999999984</v>
      </c>
    </row>
    <row r="8" spans="1:16" x14ac:dyDescent="0.2">
      <c r="A8" s="19" t="s">
        <v>26</v>
      </c>
      <c r="B8" s="19" t="s">
        <v>27</v>
      </c>
      <c r="C8" s="20">
        <v>44211</v>
      </c>
      <c r="D8" s="19">
        <v>50</v>
      </c>
      <c r="E8" s="21">
        <v>1.1935</v>
      </c>
      <c r="F8" s="22">
        <v>8.75</v>
      </c>
      <c r="G8" s="23">
        <f t="shared" si="0"/>
        <v>366.56891495601172</v>
      </c>
      <c r="H8" s="24">
        <f>'[1]auto data'!J11</f>
        <v>6.98</v>
      </c>
      <c r="I8" s="25">
        <v>0</v>
      </c>
      <c r="J8" s="21">
        <f>C119</f>
        <v>1.1598237067965669</v>
      </c>
      <c r="K8" s="23">
        <f t="shared" si="1"/>
        <v>300.90780000000001</v>
      </c>
      <c r="L8" s="26">
        <f t="shared" si="2"/>
        <v>-0.17912352159999997</v>
      </c>
      <c r="M8" s="27">
        <f t="shared" si="3"/>
        <v>-65.661114956011716</v>
      </c>
      <c r="N8" s="28">
        <v>10.15</v>
      </c>
      <c r="O8" s="29">
        <f>(N8+I8)*0.66</f>
        <v>6.6990000000000007</v>
      </c>
      <c r="P8" s="30">
        <f t="shared" si="4"/>
        <v>-2.0509999999999993</v>
      </c>
    </row>
    <row r="9" spans="1:16" x14ac:dyDescent="0.2">
      <c r="A9" s="19" t="s">
        <v>28</v>
      </c>
      <c r="B9" s="19" t="s">
        <v>29</v>
      </c>
      <c r="C9" s="20">
        <v>44250</v>
      </c>
      <c r="D9" s="19">
        <v>750</v>
      </c>
      <c r="E9" s="21">
        <v>1.1871</v>
      </c>
      <c r="F9" s="22">
        <v>8.9</v>
      </c>
      <c r="G9" s="23">
        <f t="shared" si="0"/>
        <v>5622.9466767753347</v>
      </c>
      <c r="H9" s="24">
        <f>'[1]auto data'!J13</f>
        <v>7.82</v>
      </c>
      <c r="I9" s="25">
        <v>0</v>
      </c>
      <c r="J9" s="21">
        <f>C119</f>
        <v>1.1598237067965669</v>
      </c>
      <c r="K9" s="23">
        <f t="shared" si="1"/>
        <v>5056.8030000000008</v>
      </c>
      <c r="L9" s="26">
        <f t="shared" si="2"/>
        <v>-0.10068451815730321</v>
      </c>
      <c r="M9" s="27">
        <f t="shared" si="3"/>
        <v>-566.14367677533392</v>
      </c>
      <c r="N9" s="28">
        <v>10.07</v>
      </c>
      <c r="O9" s="29">
        <f>(N9+I9)*0.75</f>
        <v>7.5525000000000002</v>
      </c>
      <c r="P9" s="30">
        <f t="shared" si="4"/>
        <v>-1.3475000000000001</v>
      </c>
    </row>
    <row r="10" spans="1:16" x14ac:dyDescent="0.2">
      <c r="A10" s="19" t="s">
        <v>30</v>
      </c>
      <c r="B10" s="19" t="s">
        <v>31</v>
      </c>
      <c r="C10" s="20">
        <v>44295</v>
      </c>
      <c r="D10" s="19">
        <v>200</v>
      </c>
      <c r="E10" s="21">
        <v>1.1847000000000001</v>
      </c>
      <c r="F10" s="22">
        <v>18.54</v>
      </c>
      <c r="G10" s="23">
        <f t="shared" si="0"/>
        <v>3129.9063053937703</v>
      </c>
      <c r="H10" s="24">
        <f>'[1]auto data'!J14</f>
        <v>14.36</v>
      </c>
      <c r="I10" s="25">
        <v>0</v>
      </c>
      <c r="J10" s="21">
        <f>C119</f>
        <v>1.1598237067965669</v>
      </c>
      <c r="K10" s="23">
        <f t="shared" si="1"/>
        <v>2476.2384000000002</v>
      </c>
      <c r="L10" s="26">
        <f t="shared" si="2"/>
        <v>-0.2088458380582523</v>
      </c>
      <c r="M10" s="27">
        <f t="shared" si="3"/>
        <v>-653.66790539377007</v>
      </c>
      <c r="N10" s="28">
        <v>20.2</v>
      </c>
      <c r="O10" s="29">
        <f>(N10+I10)*0.75</f>
        <v>15.149999999999999</v>
      </c>
      <c r="P10" s="30">
        <f t="shared" si="4"/>
        <v>-3.3900000000000006</v>
      </c>
    </row>
    <row r="11" spans="1:16" x14ac:dyDescent="0.2">
      <c r="A11" s="19" t="s">
        <v>32</v>
      </c>
      <c r="B11" s="19" t="s">
        <v>33</v>
      </c>
      <c r="C11" s="20">
        <v>44313</v>
      </c>
      <c r="D11" s="19">
        <v>1000</v>
      </c>
      <c r="E11" s="21">
        <v>1.4993000000000001</v>
      </c>
      <c r="F11" s="22">
        <v>0.41</v>
      </c>
      <c r="G11" s="23">
        <f t="shared" si="0"/>
        <v>273.46094844260654</v>
      </c>
      <c r="H11" s="24">
        <f>'[1]auto data'!J15</f>
        <v>0.26</v>
      </c>
      <c r="I11" s="25">
        <v>0</v>
      </c>
      <c r="J11" s="21">
        <f>C120</f>
        <v>1.4675667742882301</v>
      </c>
      <c r="K11" s="23">
        <f t="shared" si="1"/>
        <v>177.16400000000002</v>
      </c>
      <c r="L11" s="26">
        <f t="shared" si="2"/>
        <v>-0.35214149951219503</v>
      </c>
      <c r="M11" s="27">
        <f t="shared" si="3"/>
        <v>-96.296948442606521</v>
      </c>
      <c r="N11" s="28">
        <v>0.44</v>
      </c>
      <c r="O11" s="29">
        <f>(N11+I11)*0.66</f>
        <v>0.29039999999999999</v>
      </c>
      <c r="P11" s="30">
        <f t="shared" si="4"/>
        <v>-0.11959999999999998</v>
      </c>
    </row>
    <row r="12" spans="1:16" x14ac:dyDescent="0.2">
      <c r="A12" s="19" t="s">
        <v>34</v>
      </c>
      <c r="B12" s="19" t="s">
        <v>35</v>
      </c>
      <c r="C12" s="20">
        <v>44341</v>
      </c>
      <c r="D12" s="19">
        <v>200</v>
      </c>
      <c r="E12" s="21">
        <v>1.2256</v>
      </c>
      <c r="F12" s="22">
        <v>5.0999999999999996</v>
      </c>
      <c r="G12" s="23">
        <f t="shared" si="0"/>
        <v>832.24543080939941</v>
      </c>
      <c r="H12" s="24">
        <f>'[1]auto data'!J16</f>
        <v>5.0199999999999996</v>
      </c>
      <c r="I12" s="25">
        <v>0</v>
      </c>
      <c r="J12" s="21">
        <f>C119</f>
        <v>1.1598237067965669</v>
      </c>
      <c r="K12" s="23">
        <f>((H12+I12)/J12)*D12+349</f>
        <v>1214.6487999999999</v>
      </c>
      <c r="L12" s="31">
        <f t="shared" si="2"/>
        <v>0.45948389145098045</v>
      </c>
      <c r="M12" s="27">
        <f t="shared" si="3"/>
        <v>382.40336919060053</v>
      </c>
      <c r="N12" s="28">
        <v>4.9800000000000004</v>
      </c>
      <c r="O12" s="29">
        <f>(N12+I12)*0.66</f>
        <v>3.2868000000000004</v>
      </c>
      <c r="P12" s="30">
        <f t="shared" si="4"/>
        <v>-1.8131999999999993</v>
      </c>
    </row>
    <row r="13" spans="1:16" x14ac:dyDescent="0.2">
      <c r="A13" s="19" t="s">
        <v>36</v>
      </c>
      <c r="B13" s="19" t="s">
        <v>37</v>
      </c>
      <c r="C13" s="20">
        <v>44368</v>
      </c>
      <c r="D13" s="19">
        <v>100</v>
      </c>
      <c r="E13" s="21">
        <v>1.1916</v>
      </c>
      <c r="F13" s="22">
        <v>9.25</v>
      </c>
      <c r="G13" s="23">
        <f t="shared" si="0"/>
        <v>776.2672037596509</v>
      </c>
      <c r="H13" s="24">
        <f>H84</f>
        <v>6.82</v>
      </c>
      <c r="I13" s="25">
        <v>0</v>
      </c>
      <c r="J13" s="21">
        <f>C119</f>
        <v>1.1598237067965669</v>
      </c>
      <c r="K13" s="23">
        <f t="shared" si="1"/>
        <v>588.02040000000011</v>
      </c>
      <c r="L13" s="26">
        <f t="shared" si="2"/>
        <v>-0.24250258525405391</v>
      </c>
      <c r="M13" s="27">
        <f t="shared" si="3"/>
        <v>-188.24680375965079</v>
      </c>
      <c r="N13" s="28">
        <v>9.7100000000000009</v>
      </c>
      <c r="O13" s="29">
        <f>(N13+I13)*0.66</f>
        <v>6.4086000000000007</v>
      </c>
      <c r="P13" s="30">
        <f t="shared" si="4"/>
        <v>-2.8413999999999993</v>
      </c>
    </row>
    <row r="14" spans="1:16" x14ac:dyDescent="0.2">
      <c r="A14" s="19" t="s">
        <v>38</v>
      </c>
      <c r="B14" s="19" t="s">
        <v>39</v>
      </c>
      <c r="C14" s="20">
        <v>44388</v>
      </c>
      <c r="D14" s="19">
        <v>200</v>
      </c>
      <c r="E14" s="21">
        <v>1.18</v>
      </c>
      <c r="F14" s="22">
        <v>5.29</v>
      </c>
      <c r="G14" s="23">
        <f>(F14*D14)/E14</f>
        <v>896.61016949152543</v>
      </c>
      <c r="H14" s="24">
        <f>'[1]auto data'!J19</f>
        <v>4.07</v>
      </c>
      <c r="I14" s="25">
        <v>0</v>
      </c>
      <c r="J14" s="21">
        <f>C119</f>
        <v>1.1598237067965669</v>
      </c>
      <c r="K14" s="23">
        <f t="shared" si="1"/>
        <v>701.83080000000007</v>
      </c>
      <c r="L14" s="26">
        <f t="shared" si="2"/>
        <v>-0.21723975047258973</v>
      </c>
      <c r="M14" s="27">
        <f t="shared" si="3"/>
        <v>-194.77936949152536</v>
      </c>
      <c r="N14" s="28">
        <v>5.58</v>
      </c>
      <c r="O14" s="29">
        <f>(N14+I14)*0.66</f>
        <v>3.6828000000000003</v>
      </c>
      <c r="P14" s="30">
        <f t="shared" si="4"/>
        <v>-1.6071999999999997</v>
      </c>
    </row>
    <row r="15" spans="1:16" x14ac:dyDescent="0.2">
      <c r="A15" s="19" t="s">
        <v>40</v>
      </c>
      <c r="B15" s="19" t="s">
        <v>41</v>
      </c>
      <c r="C15" s="20">
        <v>44433</v>
      </c>
      <c r="D15" s="19">
        <v>300</v>
      </c>
      <c r="E15" s="21">
        <v>1.4830000000000001</v>
      </c>
      <c r="F15" s="22">
        <v>1.27</v>
      </c>
      <c r="G15" s="23">
        <f>(F15*D15)/E15</f>
        <v>256.91166554281858</v>
      </c>
      <c r="H15" s="24">
        <f>'[1]auto data'!J20</f>
        <v>1.25</v>
      </c>
      <c r="I15" s="25">
        <v>0</v>
      </c>
      <c r="J15" s="21">
        <f>C120</f>
        <v>1.4675667742882301</v>
      </c>
      <c r="K15" s="23">
        <f t="shared" si="1"/>
        <v>255.52500000000001</v>
      </c>
      <c r="L15" s="26">
        <f t="shared" si="2"/>
        <v>-5.3974409448817569E-3</v>
      </c>
      <c r="M15" s="27">
        <f t="shared" si="3"/>
        <v>-1.3866655428185766</v>
      </c>
      <c r="N15" s="28">
        <v>1.27</v>
      </c>
      <c r="O15" s="29">
        <f>(N15+I15)*0.66</f>
        <v>0.83820000000000006</v>
      </c>
      <c r="P15" s="30">
        <f t="shared" si="4"/>
        <v>-0.43179999999999996</v>
      </c>
    </row>
    <row r="16" spans="1:16" x14ac:dyDescent="0.2">
      <c r="A16" s="2" t="s">
        <v>42</v>
      </c>
      <c r="B16" s="3"/>
      <c r="C16" s="3"/>
      <c r="D16" s="3"/>
      <c r="E16" s="3"/>
      <c r="F16" s="4"/>
      <c r="G16" s="5"/>
      <c r="H16" s="6"/>
      <c r="I16" s="6"/>
      <c r="J16" s="6"/>
      <c r="K16" s="7"/>
      <c r="L16" s="8" t="s">
        <v>1</v>
      </c>
      <c r="M16" s="9">
        <f>SUM(K18:K31)</f>
        <v>2985.7312640000005</v>
      </c>
      <c r="N16" s="10"/>
      <c r="O16" s="11"/>
      <c r="P16" s="12">
        <f>M16/P124</f>
        <v>5.2247832996957892E-2</v>
      </c>
    </row>
    <row r="17" spans="1:16" x14ac:dyDescent="0.2">
      <c r="A17" s="13" t="s">
        <v>2</v>
      </c>
      <c r="B17" s="13" t="s">
        <v>3</v>
      </c>
      <c r="C17" s="14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5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M17" s="16" t="s">
        <v>14</v>
      </c>
      <c r="N17" s="17" t="s">
        <v>15</v>
      </c>
      <c r="O17" s="18" t="s">
        <v>16</v>
      </c>
      <c r="P17" s="16" t="s">
        <v>17</v>
      </c>
    </row>
    <row r="18" spans="1:16" x14ac:dyDescent="0.2">
      <c r="A18" s="19" t="s">
        <v>43</v>
      </c>
      <c r="B18" s="19" t="s">
        <v>44</v>
      </c>
      <c r="C18" s="20">
        <v>44054</v>
      </c>
      <c r="D18" s="19">
        <v>200</v>
      </c>
      <c r="E18" s="21">
        <v>1.58</v>
      </c>
      <c r="F18" s="22">
        <v>3.13</v>
      </c>
      <c r="G18" s="23">
        <f t="shared" si="0"/>
        <v>396.20253164556959</v>
      </c>
      <c r="H18" s="24">
        <f>'[1]auto data'!J22</f>
        <v>2.25</v>
      </c>
      <c r="I18" s="19">
        <v>0</v>
      </c>
      <c r="J18" s="21">
        <f>C120</f>
        <v>1.4675667742882301</v>
      </c>
      <c r="K18" s="23">
        <f t="shared" ref="K18:K25" si="5">((H18+I18)/J18)*D18</f>
        <v>306.63</v>
      </c>
      <c r="L18" s="26">
        <f t="shared" ref="L18:L24" si="6">(K18-G18)/G18</f>
        <v>-0.22607763578274756</v>
      </c>
      <c r="M18" s="27">
        <f t="shared" ref="M18:M38" si="7">K18-G18</f>
        <v>-89.572531645569597</v>
      </c>
      <c r="N18" s="28">
        <v>3.65</v>
      </c>
      <c r="O18" s="29">
        <f t="shared" ref="O18:O22" si="8">(N18+I18)*0.5</f>
        <v>1.825</v>
      </c>
      <c r="P18" s="30">
        <f t="shared" ref="P18:P25" si="9">O18-F18</f>
        <v>-1.3049999999999999</v>
      </c>
    </row>
    <row r="19" spans="1:16" x14ac:dyDescent="0.2">
      <c r="A19" s="19" t="s">
        <v>45</v>
      </c>
      <c r="B19" s="19" t="s">
        <v>46</v>
      </c>
      <c r="C19" s="20">
        <v>44054</v>
      </c>
      <c r="D19" s="19">
        <v>100</v>
      </c>
      <c r="E19" s="21">
        <v>1.58</v>
      </c>
      <c r="F19" s="22">
        <v>3.64</v>
      </c>
      <c r="G19" s="23">
        <f t="shared" si="0"/>
        <v>230.37974683544303</v>
      </c>
      <c r="H19" s="24">
        <f>'[1]auto data'!J25</f>
        <v>3.27</v>
      </c>
      <c r="I19" s="19">
        <v>0</v>
      </c>
      <c r="J19" s="21">
        <f>C120</f>
        <v>1.4675667742882301</v>
      </c>
      <c r="K19" s="23">
        <f t="shared" si="5"/>
        <v>222.81780000000003</v>
      </c>
      <c r="L19" s="26">
        <f t="shared" si="6"/>
        <v>-3.2823835164834982E-2</v>
      </c>
      <c r="M19" s="27">
        <f t="shared" si="7"/>
        <v>-7.5619468354429955</v>
      </c>
      <c r="N19" s="28">
        <v>4.3099999999999996</v>
      </c>
      <c r="O19" s="29">
        <f t="shared" si="8"/>
        <v>2.1549999999999998</v>
      </c>
      <c r="P19" s="30">
        <f t="shared" si="9"/>
        <v>-1.4850000000000003</v>
      </c>
    </row>
    <row r="20" spans="1:16" x14ac:dyDescent="0.2">
      <c r="A20" s="19" t="s">
        <v>47</v>
      </c>
      <c r="B20" s="19" t="s">
        <v>48</v>
      </c>
      <c r="C20" s="20">
        <v>44096</v>
      </c>
      <c r="D20" s="19">
        <v>500</v>
      </c>
      <c r="E20" s="21">
        <v>1.56</v>
      </c>
      <c r="F20" s="22">
        <v>0.6</v>
      </c>
      <c r="G20" s="23">
        <f t="shared" si="0"/>
        <v>192.30769230769229</v>
      </c>
      <c r="H20" s="24">
        <f>'[1]auto data'!J27</f>
        <v>0.44</v>
      </c>
      <c r="I20" s="19">
        <v>0</v>
      </c>
      <c r="J20" s="21">
        <f>C120</f>
        <v>1.4675667742882301</v>
      </c>
      <c r="K20" s="23">
        <f t="shared" si="5"/>
        <v>149.90800000000002</v>
      </c>
      <c r="L20" s="26">
        <f t="shared" si="6"/>
        <v>-0.22047839999999985</v>
      </c>
      <c r="M20" s="27">
        <f t="shared" si="7"/>
        <v>-42.399692307692277</v>
      </c>
      <c r="N20" s="28">
        <v>0.7</v>
      </c>
      <c r="O20" s="29">
        <f t="shared" si="8"/>
        <v>0.35</v>
      </c>
      <c r="P20" s="30">
        <f t="shared" si="9"/>
        <v>-0.25</v>
      </c>
    </row>
    <row r="21" spans="1:16" x14ac:dyDescent="0.2">
      <c r="A21" s="19" t="s">
        <v>49</v>
      </c>
      <c r="B21" s="19" t="s">
        <v>50</v>
      </c>
      <c r="C21" s="20">
        <v>44158</v>
      </c>
      <c r="D21" s="19">
        <v>250</v>
      </c>
      <c r="E21" s="21">
        <v>1.55</v>
      </c>
      <c r="F21" s="22">
        <v>1.32</v>
      </c>
      <c r="G21" s="23">
        <f t="shared" si="0"/>
        <v>212.90322580645162</v>
      </c>
      <c r="H21" s="24">
        <f>'[1]auto data'!J30</f>
        <v>0.39</v>
      </c>
      <c r="I21" s="19">
        <v>0</v>
      </c>
      <c r="J21" s="21">
        <f>C120</f>
        <v>1.4675667742882301</v>
      </c>
      <c r="K21" s="23">
        <f t="shared" si="5"/>
        <v>66.436499999999995</v>
      </c>
      <c r="L21" s="26">
        <f t="shared" si="6"/>
        <v>-0.68794977272727276</v>
      </c>
      <c r="M21" s="27">
        <f t="shared" si="7"/>
        <v>-146.46672580645162</v>
      </c>
      <c r="N21" s="28">
        <v>1.78</v>
      </c>
      <c r="O21" s="29">
        <f t="shared" si="8"/>
        <v>0.89</v>
      </c>
      <c r="P21" s="30">
        <f t="shared" si="9"/>
        <v>-0.43000000000000005</v>
      </c>
    </row>
    <row r="22" spans="1:16" x14ac:dyDescent="0.2">
      <c r="A22" s="19" t="s">
        <v>51</v>
      </c>
      <c r="B22" s="19" t="s">
        <v>52</v>
      </c>
      <c r="C22" s="20">
        <v>44159</v>
      </c>
      <c r="D22" s="19">
        <v>300</v>
      </c>
      <c r="E22" s="21">
        <v>1.55</v>
      </c>
      <c r="F22" s="22">
        <v>1.19</v>
      </c>
      <c r="G22" s="23">
        <f t="shared" si="0"/>
        <v>230.32258064516128</v>
      </c>
      <c r="H22" s="24">
        <f>'[1]auto data'!J31</f>
        <v>0.56999999999999995</v>
      </c>
      <c r="I22" s="19">
        <v>0</v>
      </c>
      <c r="J22" s="21">
        <f>C120</f>
        <v>1.4675667742882301</v>
      </c>
      <c r="K22" s="23">
        <f t="shared" si="5"/>
        <v>116.51939999999999</v>
      </c>
      <c r="L22" s="26">
        <f t="shared" si="6"/>
        <v>-0.49410344537815126</v>
      </c>
      <c r="M22" s="27">
        <f t="shared" si="7"/>
        <v>-113.80318064516129</v>
      </c>
      <c r="N22" s="28">
        <v>1.25</v>
      </c>
      <c r="O22" s="29">
        <f t="shared" si="8"/>
        <v>0.625</v>
      </c>
      <c r="P22" s="30">
        <f t="shared" si="9"/>
        <v>-0.56499999999999995</v>
      </c>
    </row>
    <row r="23" spans="1:16" x14ac:dyDescent="0.2">
      <c r="A23" s="19" t="s">
        <v>53</v>
      </c>
      <c r="B23" s="19" t="s">
        <v>54</v>
      </c>
      <c r="C23" s="20">
        <v>44203</v>
      </c>
      <c r="D23" s="19">
        <v>600</v>
      </c>
      <c r="E23" s="21">
        <v>1.52</v>
      </c>
      <c r="F23" s="22">
        <v>0.94</v>
      </c>
      <c r="G23" s="23">
        <f t="shared" si="0"/>
        <v>371.05263157894734</v>
      </c>
      <c r="H23" s="24">
        <f>'[1]auto data'!J34</f>
        <v>0.62</v>
      </c>
      <c r="I23" s="19">
        <v>0</v>
      </c>
      <c r="J23" s="21">
        <f>C120</f>
        <v>1.4675667742882301</v>
      </c>
      <c r="K23" s="23">
        <f t="shared" si="5"/>
        <v>253.48080000000002</v>
      </c>
      <c r="L23" s="26">
        <f t="shared" si="6"/>
        <v>-0.31686025531914885</v>
      </c>
      <c r="M23" s="27">
        <f>K23-G23</f>
        <v>-117.57183157894733</v>
      </c>
      <c r="N23" s="28">
        <v>0.94</v>
      </c>
      <c r="O23" s="29">
        <f>(N23+I23)*0.5</f>
        <v>0.47</v>
      </c>
      <c r="P23" s="30">
        <f t="shared" si="9"/>
        <v>-0.47</v>
      </c>
    </row>
    <row r="24" spans="1:16" x14ac:dyDescent="0.2">
      <c r="A24" s="19" t="s">
        <v>55</v>
      </c>
      <c r="B24" s="19" t="s">
        <v>56</v>
      </c>
      <c r="C24" s="20">
        <v>44216</v>
      </c>
      <c r="D24" s="19">
        <v>300</v>
      </c>
      <c r="E24" s="21">
        <v>1.55</v>
      </c>
      <c r="F24" s="22">
        <v>1.59</v>
      </c>
      <c r="G24" s="23">
        <f t="shared" si="0"/>
        <v>307.74193548387098</v>
      </c>
      <c r="H24" s="24">
        <f>'[1]auto data'!J35</f>
        <v>2.2599999999999998</v>
      </c>
      <c r="I24" s="19">
        <v>0</v>
      </c>
      <c r="J24" s="21">
        <f>C120</f>
        <v>1.4675667742882301</v>
      </c>
      <c r="K24" s="23">
        <f t="shared" si="5"/>
        <v>461.98919999999998</v>
      </c>
      <c r="L24" s="31">
        <f t="shared" si="6"/>
        <v>0.50122276729559734</v>
      </c>
      <c r="M24" s="27">
        <f>K24-G24</f>
        <v>154.24726451612901</v>
      </c>
      <c r="N24" s="28">
        <v>2.73</v>
      </c>
      <c r="O24" s="29">
        <f>(N24+I24)*0.5</f>
        <v>1.365</v>
      </c>
      <c r="P24" s="30">
        <f t="shared" si="9"/>
        <v>-0.22500000000000009</v>
      </c>
    </row>
    <row r="25" spans="1:16" x14ac:dyDescent="0.2">
      <c r="A25" s="19" t="s">
        <v>57</v>
      </c>
      <c r="B25" s="19" t="s">
        <v>58</v>
      </c>
      <c r="C25" s="20">
        <v>44218</v>
      </c>
      <c r="D25" s="19">
        <v>100</v>
      </c>
      <c r="E25" s="21">
        <v>1.4947999999999999</v>
      </c>
      <c r="F25" s="22">
        <v>0.09</v>
      </c>
      <c r="G25" s="23">
        <v>0</v>
      </c>
      <c r="H25" s="32">
        <v>0.31</v>
      </c>
      <c r="I25" s="19">
        <v>0</v>
      </c>
      <c r="J25" s="21">
        <f>C120</f>
        <v>1.4675667742882301</v>
      </c>
      <c r="K25" s="23">
        <f t="shared" si="5"/>
        <v>21.1234</v>
      </c>
      <c r="L25" s="31" t="s">
        <v>59</v>
      </c>
      <c r="M25" s="27">
        <f>K25-G25</f>
        <v>21.1234</v>
      </c>
      <c r="N25" s="28">
        <v>0.15</v>
      </c>
      <c r="O25" s="29">
        <f>(N25+I25)*0.5</f>
        <v>7.4999999999999997E-2</v>
      </c>
      <c r="P25" s="30">
        <f t="shared" si="9"/>
        <v>-1.4999999999999999E-2</v>
      </c>
    </row>
    <row r="26" spans="1:16" x14ac:dyDescent="0.2">
      <c r="A26" s="19" t="s">
        <v>60</v>
      </c>
      <c r="B26" s="19" t="s">
        <v>61</v>
      </c>
      <c r="C26" s="20">
        <v>43881</v>
      </c>
      <c r="D26" s="19">
        <v>6400</v>
      </c>
      <c r="E26" s="21">
        <v>1.43</v>
      </c>
      <c r="F26" s="33">
        <v>4.4999999999999998E-2</v>
      </c>
      <c r="G26" s="23">
        <f t="shared" ref="G26:G29" si="10">(F26*D26)/E26</f>
        <v>201.39860139860141</v>
      </c>
      <c r="H26" s="24">
        <f>'[1]auto data'!J5</f>
        <v>0.03</v>
      </c>
      <c r="I26" s="19">
        <v>0</v>
      </c>
      <c r="J26" s="21">
        <f>C120</f>
        <v>1.4675667742882301</v>
      </c>
      <c r="K26" s="23">
        <f>((H26+I26)/J26)*D26</f>
        <v>130.8288</v>
      </c>
      <c r="L26" s="26">
        <f>(K26-G26)/G26</f>
        <v>-0.35039866666666669</v>
      </c>
      <c r="M26" s="27">
        <f t="shared" ref="M26:M31" si="11">K26-G26</f>
        <v>-70.569801398601413</v>
      </c>
      <c r="N26" s="28">
        <v>0.05</v>
      </c>
      <c r="O26" s="29">
        <f>(N26+I26)*0.33</f>
        <v>1.6500000000000001E-2</v>
      </c>
      <c r="P26" s="30">
        <f>O26-F26</f>
        <v>-2.8499999999999998E-2</v>
      </c>
    </row>
    <row r="27" spans="1:16" x14ac:dyDescent="0.2">
      <c r="A27" s="19" t="s">
        <v>62</v>
      </c>
      <c r="B27" s="19" t="s">
        <v>63</v>
      </c>
      <c r="C27" s="20">
        <v>43837</v>
      </c>
      <c r="D27" s="19">
        <v>720</v>
      </c>
      <c r="E27" s="21">
        <v>1.45</v>
      </c>
      <c r="F27" s="22">
        <v>0.81</v>
      </c>
      <c r="G27" s="23">
        <f t="shared" si="10"/>
        <v>402.20689655172418</v>
      </c>
      <c r="H27" s="24">
        <f>'[1]auto data'!J3</f>
        <v>1.07</v>
      </c>
      <c r="I27" s="19">
        <v>0</v>
      </c>
      <c r="J27" s="21">
        <f>C120</f>
        <v>1.4675667742882301</v>
      </c>
      <c r="K27" s="23">
        <f>((H27+I27)/J27)*D27</f>
        <v>524.95056</v>
      </c>
      <c r="L27" s="31">
        <f>(K27-G27)/G27</f>
        <v>0.30517543209876524</v>
      </c>
      <c r="M27" s="27">
        <f t="shared" si="11"/>
        <v>122.74366344827581</v>
      </c>
      <c r="N27" s="28">
        <v>1.55</v>
      </c>
      <c r="O27" s="29">
        <f>(N27+I27)*0.33</f>
        <v>0.51150000000000007</v>
      </c>
      <c r="P27" s="30">
        <f>O27-F27</f>
        <v>-0.29849999999999999</v>
      </c>
    </row>
    <row r="28" spans="1:16" x14ac:dyDescent="0.2">
      <c r="A28" s="19" t="s">
        <v>64</v>
      </c>
      <c r="B28" s="19" t="s">
        <v>65</v>
      </c>
      <c r="C28" s="20">
        <v>44246</v>
      </c>
      <c r="D28" s="19">
        <v>1200</v>
      </c>
      <c r="E28" s="21">
        <v>1.51</v>
      </c>
      <c r="F28" s="22">
        <v>0.63</v>
      </c>
      <c r="G28" s="23">
        <f t="shared" si="10"/>
        <v>500.66225165562912</v>
      </c>
      <c r="H28" s="24">
        <f>'[1]auto data'!J12</f>
        <v>0.38</v>
      </c>
      <c r="I28" s="34">
        <v>0</v>
      </c>
      <c r="J28" s="21">
        <f>C120</f>
        <v>1.4675667742882301</v>
      </c>
      <c r="K28" s="23">
        <f t="shared" ref="K28:K30" si="12">((H28+I28)/J28)*D28</f>
        <v>310.71839999999997</v>
      </c>
      <c r="L28" s="26">
        <f t="shared" ref="L28" si="13">(K28-G28)/G28</f>
        <v>-0.37938520634920636</v>
      </c>
      <c r="M28" s="27">
        <f t="shared" si="11"/>
        <v>-189.94385165562915</v>
      </c>
      <c r="N28" s="28">
        <v>0.51</v>
      </c>
      <c r="O28" s="29">
        <f>(N28+I28)*0.66</f>
        <v>0.33660000000000001</v>
      </c>
      <c r="P28" s="30">
        <f t="shared" ref="P28:P30" si="14">O28-F28</f>
        <v>-0.29339999999999999</v>
      </c>
    </row>
    <row r="29" spans="1:16" x14ac:dyDescent="0.2">
      <c r="A29" s="19" t="s">
        <v>66</v>
      </c>
      <c r="B29" s="19" t="s">
        <v>67</v>
      </c>
      <c r="C29" s="20">
        <v>44376</v>
      </c>
      <c r="D29" s="19">
        <v>1000</v>
      </c>
      <c r="E29" s="21">
        <v>1.4742999999999999</v>
      </c>
      <c r="F29" s="22">
        <v>0.435</v>
      </c>
      <c r="G29" s="23">
        <f t="shared" si="10"/>
        <v>295.05528047208844</v>
      </c>
      <c r="H29" s="35">
        <f>'[1]auto data'!J17</f>
        <v>0.29499999999999998</v>
      </c>
      <c r="I29" s="34">
        <v>0</v>
      </c>
      <c r="J29" s="21">
        <f>C120</f>
        <v>1.4675667742882301</v>
      </c>
      <c r="K29" s="23">
        <f t="shared" si="12"/>
        <v>201.01300000000001</v>
      </c>
      <c r="L29" s="26">
        <f>(K29-G29)/G29</f>
        <v>-0.31872766459770113</v>
      </c>
      <c r="M29" s="27">
        <f t="shared" si="11"/>
        <v>-94.042280472088436</v>
      </c>
      <c r="N29" s="28">
        <v>0.44</v>
      </c>
      <c r="O29" s="29">
        <f>(N29+I29)*0.5</f>
        <v>0.22</v>
      </c>
      <c r="P29" s="30">
        <f t="shared" si="14"/>
        <v>-0.215</v>
      </c>
    </row>
    <row r="30" spans="1:16" x14ac:dyDescent="0.2">
      <c r="A30" s="19" t="s">
        <v>68</v>
      </c>
      <c r="B30" s="19" t="s">
        <v>69</v>
      </c>
      <c r="C30" s="20">
        <v>44396</v>
      </c>
      <c r="D30" s="19">
        <v>66</v>
      </c>
      <c r="E30" s="21">
        <v>1.5044</v>
      </c>
      <c r="F30" s="22">
        <v>0.72899999999999998</v>
      </c>
      <c r="G30" s="23">
        <v>0</v>
      </c>
      <c r="H30" s="35">
        <f>'[1]auto data'!J18</f>
        <v>0.71</v>
      </c>
      <c r="I30" s="34">
        <v>0</v>
      </c>
      <c r="J30" s="21">
        <f>C120</f>
        <v>1.4675667742882301</v>
      </c>
      <c r="K30" s="23">
        <f t="shared" si="12"/>
        <v>31.930403999999996</v>
      </c>
      <c r="L30" s="36" t="s">
        <v>59</v>
      </c>
      <c r="M30" s="27">
        <f t="shared" si="11"/>
        <v>31.930403999999996</v>
      </c>
      <c r="N30" s="28">
        <v>0.8</v>
      </c>
      <c r="O30" s="29">
        <f>(N30+I30)*0.5</f>
        <v>0.4</v>
      </c>
      <c r="P30" s="30">
        <f t="shared" si="14"/>
        <v>-0.32899999999999996</v>
      </c>
    </row>
    <row r="31" spans="1:16" x14ac:dyDescent="0.2">
      <c r="A31" s="19" t="s">
        <v>70</v>
      </c>
      <c r="B31" s="19" t="s">
        <v>71</v>
      </c>
      <c r="C31" s="20">
        <v>44438</v>
      </c>
      <c r="D31" s="19">
        <v>5000</v>
      </c>
      <c r="E31" s="21">
        <v>1.4879</v>
      </c>
      <c r="F31" s="33">
        <v>6.5000000000000002E-2</v>
      </c>
      <c r="G31" s="23">
        <f>(F31*D31)/E31</f>
        <v>218.4286578399086</v>
      </c>
      <c r="H31" s="37">
        <f>'[1]auto data'!J36</f>
        <v>5.5E-2</v>
      </c>
      <c r="I31" s="34">
        <v>0</v>
      </c>
      <c r="J31" s="21">
        <f>C120</f>
        <v>1.4675667742882301</v>
      </c>
      <c r="K31" s="23">
        <f>((H31+I31)/J31)*D31</f>
        <v>187.38500000000002</v>
      </c>
      <c r="L31" s="26">
        <f>(K31-G31)/G31</f>
        <v>-0.14212264153846144</v>
      </c>
      <c r="M31" s="27">
        <f t="shared" si="11"/>
        <v>-31.043657839908576</v>
      </c>
      <c r="N31" s="28">
        <v>6.5000000000000002E-2</v>
      </c>
      <c r="O31" s="29">
        <f>(N31+I31)*0.5</f>
        <v>3.2500000000000001E-2</v>
      </c>
      <c r="P31" s="30">
        <f>O31-F31</f>
        <v>-3.2500000000000001E-2</v>
      </c>
    </row>
    <row r="32" spans="1:16" x14ac:dyDescent="0.2">
      <c r="A32" s="2" t="s">
        <v>72</v>
      </c>
      <c r="B32" s="3"/>
      <c r="C32" s="3"/>
      <c r="D32" s="3"/>
      <c r="E32" s="3"/>
      <c r="F32" s="4"/>
      <c r="G32" s="5"/>
      <c r="H32" s="6"/>
      <c r="I32" s="6"/>
      <c r="J32" s="6"/>
      <c r="K32" s="7"/>
      <c r="L32" s="8" t="s">
        <v>1</v>
      </c>
      <c r="M32" s="9">
        <f>SUM(K34:K38)</f>
        <v>13101.223240000001</v>
      </c>
      <c r="N32" s="10"/>
      <c r="O32" s="11"/>
      <c r="P32" s="12">
        <f>M32/P124</f>
        <v>0.22926059426471662</v>
      </c>
    </row>
    <row r="33" spans="1:16" x14ac:dyDescent="0.2">
      <c r="A33" s="13" t="s">
        <v>2</v>
      </c>
      <c r="B33" s="13" t="s">
        <v>3</v>
      </c>
      <c r="C33" s="14" t="s">
        <v>4</v>
      </c>
      <c r="D33" s="13" t="s">
        <v>5</v>
      </c>
      <c r="E33" s="13" t="s">
        <v>6</v>
      </c>
      <c r="F33" s="13" t="s">
        <v>7</v>
      </c>
      <c r="G33" s="13" t="s">
        <v>8</v>
      </c>
      <c r="H33" s="15" t="s">
        <v>9</v>
      </c>
      <c r="I33" s="13" t="s">
        <v>10</v>
      </c>
      <c r="J33" s="13" t="s">
        <v>11</v>
      </c>
      <c r="K33" s="13" t="s">
        <v>12</v>
      </c>
      <c r="L33" s="13" t="s">
        <v>13</v>
      </c>
      <c r="M33" s="16" t="s">
        <v>14</v>
      </c>
      <c r="N33" s="17" t="s">
        <v>15</v>
      </c>
      <c r="O33" s="18" t="s">
        <v>16</v>
      </c>
      <c r="P33" s="16" t="s">
        <v>17</v>
      </c>
    </row>
    <row r="34" spans="1:16" x14ac:dyDescent="0.2">
      <c r="A34" s="19" t="s">
        <v>73</v>
      </c>
      <c r="B34" s="19" t="s">
        <v>74</v>
      </c>
      <c r="C34" s="20">
        <v>43906</v>
      </c>
      <c r="D34" s="19">
        <v>900</v>
      </c>
      <c r="E34" s="21">
        <v>1.1200000000000001</v>
      </c>
      <c r="F34" s="22">
        <v>2.5</v>
      </c>
      <c r="G34" s="23">
        <f t="shared" si="0"/>
        <v>2008.9285714285713</v>
      </c>
      <c r="H34" s="38">
        <f>'[1]auto data'!G3</f>
        <v>3.71</v>
      </c>
      <c r="I34" s="25">
        <f>[1]Dividend!P7</f>
        <v>0.60000000000000009</v>
      </c>
      <c r="J34" s="21">
        <f>C119</f>
        <v>1.1598237067965669</v>
      </c>
      <c r="K34" s="23">
        <f>((H34+I34)/J34)*D34</f>
        <v>3344.4738000000007</v>
      </c>
      <c r="L34" s="31">
        <f>(K34-G34)/G34</f>
        <v>0.66480473600000045</v>
      </c>
      <c r="M34" s="27">
        <f t="shared" si="7"/>
        <v>1335.5452285714293</v>
      </c>
      <c r="N34" s="28">
        <v>4.25</v>
      </c>
      <c r="O34" s="29">
        <f>(N34+I34)*0.75</f>
        <v>3.6374999999999997</v>
      </c>
      <c r="P34" s="39">
        <f>O34-F34</f>
        <v>1.1374999999999997</v>
      </c>
    </row>
    <row r="35" spans="1:16" x14ac:dyDescent="0.2">
      <c r="A35" s="19" t="s">
        <v>75</v>
      </c>
      <c r="B35" s="19" t="s">
        <v>76</v>
      </c>
      <c r="C35" s="20">
        <v>44103</v>
      </c>
      <c r="D35" s="19">
        <v>750</v>
      </c>
      <c r="E35" s="21">
        <v>1.175</v>
      </c>
      <c r="F35" s="22">
        <v>5.03</v>
      </c>
      <c r="G35" s="23">
        <f t="shared" si="0"/>
        <v>3210.6382978723404</v>
      </c>
      <c r="H35" s="38">
        <f>'[1]auto data'!G4</f>
        <v>5.09</v>
      </c>
      <c r="I35" s="25">
        <f>[1]Dividend!P8</f>
        <v>0.39</v>
      </c>
      <c r="J35" s="21">
        <f>C119</f>
        <v>1.1598237067965669</v>
      </c>
      <c r="K35" s="23">
        <f>((H35+I35)/J35)*D35</f>
        <v>3543.6419999999998</v>
      </c>
      <c r="L35" s="31">
        <f>(K35-G35)/G35</f>
        <v>0.10371884691848901</v>
      </c>
      <c r="M35" s="27">
        <f t="shared" si="7"/>
        <v>333.00370212765938</v>
      </c>
      <c r="N35" s="40">
        <v>5.95</v>
      </c>
      <c r="O35" s="29">
        <f>(N35+I35)*0.75</f>
        <v>4.7549999999999999</v>
      </c>
      <c r="P35" s="30">
        <f>O35-F35</f>
        <v>-0.27500000000000036</v>
      </c>
    </row>
    <row r="36" spans="1:16" x14ac:dyDescent="0.2">
      <c r="A36" s="19" t="s">
        <v>77</v>
      </c>
      <c r="B36" s="19" t="s">
        <v>78</v>
      </c>
      <c r="C36" s="20">
        <v>44137</v>
      </c>
      <c r="D36" s="19">
        <v>30</v>
      </c>
      <c r="E36" s="21">
        <v>1.1639999999999999</v>
      </c>
      <c r="F36" s="22">
        <v>36.47</v>
      </c>
      <c r="G36" s="23">
        <f t="shared" si="0"/>
        <v>939.94845360824741</v>
      </c>
      <c r="H36" s="38">
        <f>'[1]auto data'!G5</f>
        <v>45.86</v>
      </c>
      <c r="I36" s="25">
        <f>[1]Dividend!P11</f>
        <v>3.48</v>
      </c>
      <c r="J36" s="21">
        <f>C119</f>
        <v>1.1598237067965669</v>
      </c>
      <c r="K36" s="23">
        <f>((H36+I36)/J36)*D36</f>
        <v>1276.2284400000001</v>
      </c>
      <c r="L36" s="31">
        <f>(K36-G36)/G36</f>
        <v>0.35776428494653151</v>
      </c>
      <c r="M36" s="27">
        <f t="shared" si="7"/>
        <v>336.27998639175269</v>
      </c>
      <c r="N36" s="28">
        <v>52.5</v>
      </c>
      <c r="O36" s="29">
        <f>(N36+I36)*0.75</f>
        <v>41.984999999999999</v>
      </c>
      <c r="P36" s="39">
        <f>O36-F36</f>
        <v>5.5150000000000006</v>
      </c>
    </row>
    <row r="37" spans="1:16" x14ac:dyDescent="0.2">
      <c r="A37" s="19" t="s">
        <v>79</v>
      </c>
      <c r="B37" s="19" t="s">
        <v>80</v>
      </c>
      <c r="C37" s="20">
        <v>44165</v>
      </c>
      <c r="D37" s="19">
        <v>100</v>
      </c>
      <c r="E37" s="21">
        <v>1.1944999999999999</v>
      </c>
      <c r="F37" s="22">
        <v>33.25</v>
      </c>
      <c r="G37" s="23">
        <f t="shared" si="0"/>
        <v>2783.5914608622857</v>
      </c>
      <c r="H37" s="38">
        <f>'[1]auto data'!G6</f>
        <v>32.65</v>
      </c>
      <c r="I37" s="25">
        <f>[1]Dividend!P12</f>
        <v>1.7999999999999998</v>
      </c>
      <c r="J37" s="21">
        <f>C119</f>
        <v>1.1598237067965669</v>
      </c>
      <c r="K37" s="23">
        <f>((H37+I37)/J37)*D37</f>
        <v>2970.2789999999995</v>
      </c>
      <c r="L37" s="31">
        <f>(K37-G37)/G37</f>
        <v>6.7067147518796763E-2</v>
      </c>
      <c r="M37" s="27">
        <f t="shared" si="7"/>
        <v>186.68753913771388</v>
      </c>
      <c r="N37" s="40">
        <v>36.119999999999997</v>
      </c>
      <c r="O37" s="29">
        <f>(N37+I37)*0.75</f>
        <v>28.439999999999998</v>
      </c>
      <c r="P37" s="30">
        <f>O37-F37</f>
        <v>-4.8100000000000023</v>
      </c>
    </row>
    <row r="38" spans="1:16" x14ac:dyDescent="0.2">
      <c r="A38" s="19" t="s">
        <v>81</v>
      </c>
      <c r="B38" s="19" t="s">
        <v>82</v>
      </c>
      <c r="C38" s="20">
        <v>44403</v>
      </c>
      <c r="D38" s="19">
        <v>100</v>
      </c>
      <c r="E38" s="21">
        <v>1</v>
      </c>
      <c r="F38" s="22">
        <v>16.3</v>
      </c>
      <c r="G38" s="23">
        <f t="shared" si="0"/>
        <v>1630</v>
      </c>
      <c r="H38" s="38">
        <f>'[1]auto data'!G7</f>
        <v>19.425999999999998</v>
      </c>
      <c r="I38" s="25">
        <f>[1]Dividend!P14</f>
        <v>0.24</v>
      </c>
      <c r="J38" s="21">
        <v>1</v>
      </c>
      <c r="K38" s="23">
        <f>((H38+I38)/J38)*D38</f>
        <v>1966.5999999999997</v>
      </c>
      <c r="L38" s="31">
        <f>(K38-G38)/G38</f>
        <v>0.20650306748466238</v>
      </c>
      <c r="M38" s="27">
        <f t="shared" si="7"/>
        <v>336.59999999999968</v>
      </c>
      <c r="N38" s="40">
        <v>17.37</v>
      </c>
      <c r="O38" s="29">
        <f>(N38+I38)*0.75</f>
        <v>13.2075</v>
      </c>
      <c r="P38" s="30">
        <f>O38-F38</f>
        <v>-3.0925000000000011</v>
      </c>
    </row>
    <row r="39" spans="1:16" x14ac:dyDescent="0.2">
      <c r="A39" s="2" t="s">
        <v>83</v>
      </c>
      <c r="B39" s="3"/>
      <c r="C39" s="3"/>
      <c r="D39" s="3"/>
      <c r="E39" s="3"/>
      <c r="F39" s="4"/>
      <c r="G39" s="41"/>
      <c r="H39" s="42"/>
      <c r="I39" s="42"/>
      <c r="J39" s="42"/>
      <c r="K39" s="43"/>
      <c r="L39" s="8" t="s">
        <v>1</v>
      </c>
      <c r="M39" s="9">
        <f>SUM(K41:K46)</f>
        <v>2425.9384000000005</v>
      </c>
      <c r="N39" s="10"/>
      <c r="O39" s="11"/>
      <c r="P39" s="12">
        <f>M39/P124</f>
        <v>4.2451919873826675E-2</v>
      </c>
    </row>
    <row r="40" spans="1:16" x14ac:dyDescent="0.2">
      <c r="A40" s="13" t="s">
        <v>2</v>
      </c>
      <c r="B40" s="13" t="s">
        <v>3</v>
      </c>
      <c r="C40" s="14" t="s">
        <v>4</v>
      </c>
      <c r="D40" s="13" t="s">
        <v>5</v>
      </c>
      <c r="E40" s="13" t="s">
        <v>6</v>
      </c>
      <c r="F40" s="13" t="s">
        <v>7</v>
      </c>
      <c r="G40" s="13" t="s">
        <v>8</v>
      </c>
      <c r="H40" s="15" t="s">
        <v>9</v>
      </c>
      <c r="I40" s="13" t="s">
        <v>10</v>
      </c>
      <c r="J40" s="13" t="s">
        <v>11</v>
      </c>
      <c r="K40" s="13" t="s">
        <v>12</v>
      </c>
      <c r="L40" s="13" t="s">
        <v>13</v>
      </c>
      <c r="M40" s="16" t="s">
        <v>14</v>
      </c>
      <c r="N40" s="17" t="s">
        <v>15</v>
      </c>
      <c r="O40" s="18" t="s">
        <v>16</v>
      </c>
      <c r="P40" s="16" t="s">
        <v>17</v>
      </c>
    </row>
    <row r="41" spans="1:16" x14ac:dyDescent="0.2">
      <c r="A41" s="19" t="s">
        <v>84</v>
      </c>
      <c r="B41" s="19" t="s">
        <v>85</v>
      </c>
      <c r="C41" s="20">
        <v>44253</v>
      </c>
      <c r="D41" s="19">
        <v>400</v>
      </c>
      <c r="E41" s="21">
        <v>1.52</v>
      </c>
      <c r="F41" s="22">
        <v>1.05</v>
      </c>
      <c r="G41" s="23">
        <f t="shared" si="0"/>
        <v>276.31578947368422</v>
      </c>
      <c r="H41" s="44">
        <f>'[1]auto data'!M4</f>
        <v>1.51</v>
      </c>
      <c r="I41" s="19">
        <v>0</v>
      </c>
      <c r="J41" s="21">
        <f>C120</f>
        <v>1.4675667742882301</v>
      </c>
      <c r="K41" s="23">
        <f t="shared" ref="K41:K44" si="15">((H41+I41)/J41)*D41</f>
        <v>411.56560000000002</v>
      </c>
      <c r="L41" s="31">
        <f t="shared" ref="L41:L44" si="16">(K41-G41)/G41</f>
        <v>0.48947550476190477</v>
      </c>
      <c r="M41" s="27">
        <f t="shared" ref="M41:M44" si="17">K41-G41</f>
        <v>135.2498105263158</v>
      </c>
      <c r="N41" s="28">
        <v>1.51</v>
      </c>
      <c r="O41" s="29">
        <f t="shared" ref="O41:O44" si="18">(N41+I41)*0.5</f>
        <v>0.755</v>
      </c>
      <c r="P41" s="30">
        <f t="shared" ref="P41:P44" si="19">O41-F41</f>
        <v>-0.29500000000000004</v>
      </c>
    </row>
    <row r="42" spans="1:16" x14ac:dyDescent="0.2">
      <c r="A42" s="19" t="s">
        <v>86</v>
      </c>
      <c r="B42" s="19" t="s">
        <v>87</v>
      </c>
      <c r="C42" s="20">
        <v>44270</v>
      </c>
      <c r="D42" s="19">
        <v>150</v>
      </c>
      <c r="E42" s="21">
        <v>1.49</v>
      </c>
      <c r="F42" s="22">
        <v>2.19</v>
      </c>
      <c r="G42" s="23">
        <f t="shared" si="0"/>
        <v>220.46979865771812</v>
      </c>
      <c r="H42" s="44">
        <f>'[1]auto data'!M5</f>
        <v>3.26</v>
      </c>
      <c r="I42" s="19">
        <v>0</v>
      </c>
      <c r="J42" s="21">
        <f>C120</f>
        <v>1.4675667742882301</v>
      </c>
      <c r="K42" s="23">
        <f t="shared" si="15"/>
        <v>333.20459999999997</v>
      </c>
      <c r="L42" s="31">
        <f t="shared" si="16"/>
        <v>0.51133897716894972</v>
      </c>
      <c r="M42" s="27">
        <f t="shared" si="17"/>
        <v>112.73480134228186</v>
      </c>
      <c r="N42" s="28">
        <v>3.2</v>
      </c>
      <c r="O42" s="29">
        <f t="shared" si="18"/>
        <v>1.6</v>
      </c>
      <c r="P42" s="30">
        <f t="shared" si="19"/>
        <v>-0.58999999999999986</v>
      </c>
    </row>
    <row r="43" spans="1:16" x14ac:dyDescent="0.2">
      <c r="A43" s="19" t="s">
        <v>88</v>
      </c>
      <c r="B43" s="19" t="s">
        <v>89</v>
      </c>
      <c r="C43" s="20">
        <v>44278</v>
      </c>
      <c r="D43" s="19">
        <v>100</v>
      </c>
      <c r="E43" s="21">
        <v>1.1825000000000001</v>
      </c>
      <c r="F43" s="22">
        <v>4.8099999999999996</v>
      </c>
      <c r="G43" s="23">
        <f t="shared" si="0"/>
        <v>406.76532769556019</v>
      </c>
      <c r="H43" s="44">
        <f>'[1]auto data'!M6</f>
        <v>6.82</v>
      </c>
      <c r="I43" s="19">
        <v>0</v>
      </c>
      <c r="J43" s="21">
        <f>C119</f>
        <v>1.1598237067965669</v>
      </c>
      <c r="K43" s="23">
        <f t="shared" si="15"/>
        <v>588.02040000000011</v>
      </c>
      <c r="L43" s="31">
        <f t="shared" si="16"/>
        <v>0.44560108731808784</v>
      </c>
      <c r="M43" s="27">
        <f t="shared" si="17"/>
        <v>181.25507230443992</v>
      </c>
      <c r="N43" s="28">
        <v>7.03</v>
      </c>
      <c r="O43" s="29">
        <f t="shared" si="18"/>
        <v>3.5150000000000001</v>
      </c>
      <c r="P43" s="30">
        <f t="shared" si="19"/>
        <v>-1.2949999999999995</v>
      </c>
    </row>
    <row r="44" spans="1:16" x14ac:dyDescent="0.2">
      <c r="A44" s="19" t="s">
        <v>90</v>
      </c>
      <c r="B44" s="19" t="s">
        <v>91</v>
      </c>
      <c r="C44" s="20">
        <v>44285</v>
      </c>
      <c r="D44" s="19">
        <v>300</v>
      </c>
      <c r="E44" s="21">
        <v>1.48</v>
      </c>
      <c r="F44" s="22">
        <v>1.115</v>
      </c>
      <c r="G44" s="23">
        <f t="shared" si="0"/>
        <v>226.01351351351352</v>
      </c>
      <c r="H44" s="44">
        <f>'[1]auto data'!M8</f>
        <v>1.74</v>
      </c>
      <c r="I44" s="19">
        <v>0</v>
      </c>
      <c r="J44" s="21">
        <f>C120</f>
        <v>1.4675667742882301</v>
      </c>
      <c r="K44" s="23">
        <f t="shared" si="15"/>
        <v>355.69079999999997</v>
      </c>
      <c r="L44" s="31">
        <f t="shared" si="16"/>
        <v>0.57375899551569487</v>
      </c>
      <c r="M44" s="27">
        <f t="shared" si="17"/>
        <v>129.67728648648645</v>
      </c>
      <c r="N44" s="28">
        <v>1.55</v>
      </c>
      <c r="O44" s="29">
        <f t="shared" si="18"/>
        <v>0.77500000000000002</v>
      </c>
      <c r="P44" s="30">
        <f t="shared" si="19"/>
        <v>-0.33999999999999997</v>
      </c>
    </row>
    <row r="45" spans="1:16" x14ac:dyDescent="0.2">
      <c r="A45" s="19" t="s">
        <v>92</v>
      </c>
      <c r="B45" s="19" t="s">
        <v>93</v>
      </c>
      <c r="C45" s="20">
        <v>44350</v>
      </c>
      <c r="D45" s="19">
        <v>3000</v>
      </c>
      <c r="E45" s="21">
        <v>1.57</v>
      </c>
      <c r="F45" s="22">
        <v>0.17499999999999999</v>
      </c>
      <c r="G45" s="23">
        <f t="shared" si="0"/>
        <v>334.39490445859872</v>
      </c>
      <c r="H45" s="44">
        <f>'[1]auto data'!M12</f>
        <v>0.23499999999999999</v>
      </c>
      <c r="I45" s="19">
        <v>0</v>
      </c>
      <c r="J45" s="21">
        <f>C121</f>
        <v>1.5984654731457799</v>
      </c>
      <c r="K45" s="23">
        <f>((H45+I45)/J45)*D45</f>
        <v>441.048</v>
      </c>
      <c r="L45" s="31">
        <f>(K45-G45)/G45</f>
        <v>0.31894354285714288</v>
      </c>
      <c r="M45" s="27">
        <f>K45-G45</f>
        <v>106.65309554140129</v>
      </c>
      <c r="N45" s="28">
        <v>1.17</v>
      </c>
      <c r="O45" s="29">
        <f>(N45+I45)*0.5</f>
        <v>0.58499999999999996</v>
      </c>
      <c r="P45" s="30">
        <f>O45-F45</f>
        <v>0.41</v>
      </c>
    </row>
    <row r="46" spans="1:16" x14ac:dyDescent="0.2">
      <c r="A46" s="19" t="s">
        <v>94</v>
      </c>
      <c r="B46" s="19" t="s">
        <v>95</v>
      </c>
      <c r="C46" s="20">
        <v>44354</v>
      </c>
      <c r="D46" s="19">
        <v>1000</v>
      </c>
      <c r="E46" s="21">
        <v>1.4715</v>
      </c>
      <c r="F46" s="22">
        <v>0.41</v>
      </c>
      <c r="G46" s="23">
        <f t="shared" si="0"/>
        <v>278.62725110431529</v>
      </c>
      <c r="H46" s="44">
        <f>'[1]auto data'!M13</f>
        <v>0.435</v>
      </c>
      <c r="I46" s="19">
        <v>0</v>
      </c>
      <c r="J46" s="21">
        <f>C120</f>
        <v>1.4675667742882301</v>
      </c>
      <c r="K46" s="23">
        <f>((H46+I46)/J46)*D46</f>
        <v>296.40899999999999</v>
      </c>
      <c r="L46" s="31">
        <f>(K46-G46)/G46</f>
        <v>6.3819130487804979E-2</v>
      </c>
      <c r="M46" s="27">
        <f>K46-G46</f>
        <v>17.7817488956847</v>
      </c>
      <c r="N46" s="28">
        <v>0.46500000000000002</v>
      </c>
      <c r="O46" s="29">
        <f>(N46+I46)*0.5</f>
        <v>0.23250000000000001</v>
      </c>
      <c r="P46" s="30">
        <f>O46-F46</f>
        <v>-0.17749999999999996</v>
      </c>
    </row>
    <row r="47" spans="1:16" x14ac:dyDescent="0.2">
      <c r="A47" s="19" t="s">
        <v>96</v>
      </c>
      <c r="B47" s="19" t="s">
        <v>97</v>
      </c>
      <c r="C47" s="20">
        <v>44459</v>
      </c>
      <c r="D47" s="19">
        <v>400</v>
      </c>
      <c r="E47" s="21">
        <v>1.5044</v>
      </c>
      <c r="F47" s="22">
        <v>0.89</v>
      </c>
      <c r="G47" s="23">
        <f t="shared" si="0"/>
        <v>236.63919170433397</v>
      </c>
      <c r="H47" s="44">
        <f>'[1]auto data'!M9</f>
        <v>0.9</v>
      </c>
      <c r="I47" s="19">
        <v>0</v>
      </c>
      <c r="J47" s="21">
        <f>C120</f>
        <v>1.4675667742882301</v>
      </c>
      <c r="K47" s="23">
        <f>((H47+I47)/J47)*D47</f>
        <v>245.304</v>
      </c>
      <c r="L47" s="31">
        <f>(K47-G47)/G47</f>
        <v>3.6616116853932533E-2</v>
      </c>
      <c r="M47" s="27">
        <f>K47-G47</f>
        <v>8.6648082956660346</v>
      </c>
      <c r="N47" s="28">
        <v>0.9</v>
      </c>
      <c r="O47" s="29">
        <f>(N47+I47)*0.5</f>
        <v>0.45</v>
      </c>
      <c r="P47" s="30">
        <f>O47-F47</f>
        <v>-0.44</v>
      </c>
    </row>
    <row r="48" spans="1:16" x14ac:dyDescent="0.2">
      <c r="A48" s="19" t="s">
        <v>98</v>
      </c>
      <c r="B48" s="19" t="s">
        <v>99</v>
      </c>
      <c r="C48" s="20">
        <v>44466</v>
      </c>
      <c r="D48" s="19">
        <v>800</v>
      </c>
      <c r="E48" s="21">
        <v>1.4795</v>
      </c>
      <c r="F48" s="22">
        <v>0.48</v>
      </c>
      <c r="G48" s="23">
        <f t="shared" si="0"/>
        <v>259.5471443055086</v>
      </c>
      <c r="H48" s="44">
        <f>'[1]auto data'!M11</f>
        <v>0.37</v>
      </c>
      <c r="I48" s="19">
        <v>0</v>
      </c>
      <c r="J48" s="21">
        <f>C120</f>
        <v>1.4675667742882301</v>
      </c>
      <c r="K48" s="23">
        <f>((H48+I48)/J48)*D48</f>
        <v>201.6944</v>
      </c>
      <c r="L48" s="26">
        <f>(K48-G48)/G48</f>
        <v>-0.22289878958333326</v>
      </c>
      <c r="M48" s="27">
        <f>K48-G48</f>
        <v>-57.852744305508594</v>
      </c>
      <c r="N48" s="28">
        <v>1.9</v>
      </c>
      <c r="O48" s="29">
        <f>(N48+I48)*0.5</f>
        <v>0.95</v>
      </c>
      <c r="P48" s="30">
        <f>O48-F48</f>
        <v>0.47</v>
      </c>
    </row>
    <row r="49" spans="1:16" x14ac:dyDescent="0.2">
      <c r="A49" s="19" t="s">
        <v>100</v>
      </c>
      <c r="B49" s="19" t="s">
        <v>101</v>
      </c>
      <c r="C49" s="20">
        <v>44469</v>
      </c>
      <c r="D49" s="19">
        <v>540</v>
      </c>
      <c r="E49" s="21">
        <v>1.6037999999999999</v>
      </c>
      <c r="F49" s="22">
        <v>0.95</v>
      </c>
      <c r="G49" s="23">
        <f t="shared" si="0"/>
        <v>319.86531986531986</v>
      </c>
      <c r="H49" s="44">
        <f>'[1]auto data'!M14</f>
        <v>0.98</v>
      </c>
      <c r="I49" s="19">
        <v>0</v>
      </c>
      <c r="J49" s="21">
        <f>C121</f>
        <v>1.5984654731457799</v>
      </c>
      <c r="K49" s="23">
        <f>((H49+I49)/J49)*D49</f>
        <v>331.06752000000006</v>
      </c>
      <c r="L49" s="31">
        <f>(K49-G49)/G49</f>
        <v>3.5021615157894932E-2</v>
      </c>
      <c r="M49" s="27">
        <f>K49-G49</f>
        <v>11.202200134680197</v>
      </c>
      <c r="N49" s="28">
        <v>0.95</v>
      </c>
      <c r="O49" s="29">
        <f>(N49+I49)*0.5</f>
        <v>0.47499999999999998</v>
      </c>
      <c r="P49" s="30">
        <f>O49-F49</f>
        <v>-0.47499999999999998</v>
      </c>
    </row>
    <row r="50" spans="1:16" x14ac:dyDescent="0.2">
      <c r="A50" s="2" t="s">
        <v>102</v>
      </c>
      <c r="B50" s="3"/>
      <c r="C50" s="3"/>
      <c r="D50" s="3"/>
      <c r="E50" s="3"/>
      <c r="F50" s="4"/>
      <c r="G50" s="5"/>
      <c r="H50" s="6"/>
      <c r="I50" s="6"/>
      <c r="J50" s="6"/>
      <c r="K50" s="7"/>
      <c r="L50" s="8" t="s">
        <v>1</v>
      </c>
      <c r="M50" s="9">
        <f>SUM(K52:K53)</f>
        <v>662.32079999999996</v>
      </c>
      <c r="N50" s="10"/>
      <c r="O50" s="11"/>
      <c r="P50" s="12">
        <f>M50/P124</f>
        <v>1.1590067386858947E-2</v>
      </c>
    </row>
    <row r="51" spans="1:16" x14ac:dyDescent="0.2">
      <c r="A51" s="13" t="s">
        <v>2</v>
      </c>
      <c r="B51" s="13" t="s">
        <v>3</v>
      </c>
      <c r="C51" s="14" t="s">
        <v>4</v>
      </c>
      <c r="D51" s="13" t="s">
        <v>5</v>
      </c>
      <c r="E51" s="13" t="s">
        <v>6</v>
      </c>
      <c r="F51" s="13" t="s">
        <v>7</v>
      </c>
      <c r="G51" s="13" t="s">
        <v>8</v>
      </c>
      <c r="H51" s="15" t="s">
        <v>9</v>
      </c>
      <c r="I51" s="13" t="s">
        <v>10</v>
      </c>
      <c r="J51" s="13" t="s">
        <v>11</v>
      </c>
      <c r="K51" s="13" t="s">
        <v>12</v>
      </c>
      <c r="L51" s="13" t="s">
        <v>13</v>
      </c>
      <c r="M51" s="16" t="s">
        <v>14</v>
      </c>
      <c r="N51" s="17" t="s">
        <v>15</v>
      </c>
      <c r="O51" s="18" t="s">
        <v>16</v>
      </c>
      <c r="P51" s="16" t="s">
        <v>17</v>
      </c>
    </row>
    <row r="52" spans="1:16" x14ac:dyDescent="0.2">
      <c r="A52" s="19" t="s">
        <v>103</v>
      </c>
      <c r="B52" s="19" t="s">
        <v>104</v>
      </c>
      <c r="C52" s="20">
        <v>44187</v>
      </c>
      <c r="D52" s="19">
        <v>200</v>
      </c>
      <c r="E52" s="21">
        <v>1.57</v>
      </c>
      <c r="F52" s="25">
        <v>2.97</v>
      </c>
      <c r="G52" s="23">
        <f t="shared" si="0"/>
        <v>378.343949044586</v>
      </c>
      <c r="H52" s="45">
        <f>'[1]auto data'!P4</f>
        <v>2.86</v>
      </c>
      <c r="I52" s="19">
        <v>0</v>
      </c>
      <c r="J52" s="21">
        <f>C120</f>
        <v>1.4675667742882301</v>
      </c>
      <c r="K52" s="23">
        <f>((H52+I52)/J52)*D52</f>
        <v>389.76080000000002</v>
      </c>
      <c r="L52" s="31">
        <f>(K52-G52)/G52</f>
        <v>3.017585185185187E-2</v>
      </c>
      <c r="M52" s="27">
        <f>K52-G52</f>
        <v>11.41685095541402</v>
      </c>
      <c r="N52" s="28">
        <v>5.3</v>
      </c>
      <c r="O52" s="29">
        <f>(N52+I52)*0.5</f>
        <v>2.65</v>
      </c>
      <c r="P52" s="30">
        <f>O52-F52</f>
        <v>-0.32000000000000028</v>
      </c>
    </row>
    <row r="53" spans="1:16" x14ac:dyDescent="0.2">
      <c r="A53" s="19" t="s">
        <v>105</v>
      </c>
      <c r="B53" s="19" t="s">
        <v>106</v>
      </c>
      <c r="C53" s="20">
        <v>44246</v>
      </c>
      <c r="D53" s="19">
        <v>1000</v>
      </c>
      <c r="E53" s="21">
        <v>1.54</v>
      </c>
      <c r="F53" s="25">
        <v>0.34</v>
      </c>
      <c r="G53" s="23">
        <f t="shared" si="0"/>
        <v>220.77922077922076</v>
      </c>
      <c r="H53" s="45">
        <f>'[1]auto data'!P5</f>
        <v>0.4</v>
      </c>
      <c r="I53" s="19">
        <v>0</v>
      </c>
      <c r="J53" s="21">
        <f>C120</f>
        <v>1.4675667742882301</v>
      </c>
      <c r="K53" s="23">
        <f>((H53+I53)/J53)*D53</f>
        <v>272.56</v>
      </c>
      <c r="L53" s="31">
        <f>(K53-G53)/G53</f>
        <v>0.23453647058823537</v>
      </c>
      <c r="M53" s="27">
        <f>K53-G53</f>
        <v>51.780779220779237</v>
      </c>
      <c r="N53" s="28">
        <v>0.4</v>
      </c>
      <c r="O53" s="29">
        <f>(N53+I53)*0.33</f>
        <v>0.13200000000000001</v>
      </c>
      <c r="P53" s="30">
        <f>O53-F53</f>
        <v>-0.20800000000000002</v>
      </c>
    </row>
    <row r="54" spans="1:16" x14ac:dyDescent="0.2">
      <c r="A54" s="2" t="s">
        <v>107</v>
      </c>
      <c r="B54" s="3"/>
      <c r="C54" s="3"/>
      <c r="D54" s="3"/>
      <c r="E54" s="3"/>
      <c r="F54" s="4"/>
      <c r="G54" s="5"/>
      <c r="H54" s="6"/>
      <c r="I54" s="6"/>
      <c r="J54" s="6"/>
      <c r="K54" s="7"/>
      <c r="L54" s="8" t="s">
        <v>1</v>
      </c>
      <c r="M54" s="9">
        <f>SUM(K56:K61)</f>
        <v>227.13660000000004</v>
      </c>
      <c r="N54" s="10"/>
      <c r="O54" s="11"/>
      <c r="P54" s="12">
        <f>M54/P124</f>
        <v>3.974703044237817E-3</v>
      </c>
    </row>
    <row r="55" spans="1:16" x14ac:dyDescent="0.2">
      <c r="A55" s="13" t="s">
        <v>108</v>
      </c>
      <c r="B55" s="13" t="s">
        <v>3</v>
      </c>
      <c r="C55" s="14" t="s">
        <v>4</v>
      </c>
      <c r="D55" s="13" t="s">
        <v>5</v>
      </c>
      <c r="E55" s="13" t="s">
        <v>6</v>
      </c>
      <c r="F55" s="13" t="s">
        <v>7</v>
      </c>
      <c r="G55" s="13" t="s">
        <v>8</v>
      </c>
      <c r="H55" s="15" t="s">
        <v>9</v>
      </c>
      <c r="I55" s="13" t="s">
        <v>10</v>
      </c>
      <c r="J55" s="13" t="s">
        <v>11</v>
      </c>
      <c r="K55" s="13" t="s">
        <v>12</v>
      </c>
      <c r="L55" s="13" t="s">
        <v>13</v>
      </c>
      <c r="M55" s="46"/>
      <c r="N55" s="47"/>
      <c r="O55" s="48"/>
      <c r="P55" s="16" t="s">
        <v>109</v>
      </c>
    </row>
    <row r="56" spans="1:16" x14ac:dyDescent="0.2">
      <c r="A56" s="40" t="s">
        <v>110</v>
      </c>
      <c r="B56" s="19" t="s">
        <v>111</v>
      </c>
      <c r="C56" s="20">
        <v>44033</v>
      </c>
      <c r="D56" s="19">
        <v>1</v>
      </c>
      <c r="E56" s="21">
        <v>1.145</v>
      </c>
      <c r="F56" s="22">
        <v>-261</v>
      </c>
      <c r="G56" s="23">
        <f>(F56*D56)/E56</f>
        <v>-227.94759825327512</v>
      </c>
      <c r="H56" s="49">
        <v>-125</v>
      </c>
      <c r="I56" s="19">
        <v>0</v>
      </c>
      <c r="J56" s="21">
        <f>C119</f>
        <v>1.1598237067965669</v>
      </c>
      <c r="K56" s="23">
        <f>((H56-F56)/J56)*D56</f>
        <v>117.25920000000001</v>
      </c>
      <c r="L56" s="31">
        <f>-(K56-G56)/G56</f>
        <v>1.5144129655172414</v>
      </c>
      <c r="M56" s="27"/>
      <c r="N56" s="40"/>
      <c r="O56" s="29"/>
      <c r="P56" s="30" t="s">
        <v>112</v>
      </c>
    </row>
    <row r="57" spans="1:16" x14ac:dyDescent="0.2">
      <c r="A57" s="40" t="s">
        <v>113</v>
      </c>
      <c r="B57" s="19" t="s">
        <v>19</v>
      </c>
      <c r="C57" s="20">
        <v>44946</v>
      </c>
      <c r="D57" s="19">
        <v>2</v>
      </c>
      <c r="E57" s="21">
        <v>1.2199</v>
      </c>
      <c r="F57" s="19">
        <v>-240</v>
      </c>
      <c r="G57" s="23">
        <f>(F57*D57)/E57</f>
        <v>-393.47487498975329</v>
      </c>
      <c r="H57" s="50">
        <v>-211</v>
      </c>
      <c r="I57" s="19">
        <v>0</v>
      </c>
      <c r="J57" s="21">
        <f>C119</f>
        <v>1.1598237067965669</v>
      </c>
      <c r="K57" s="23">
        <f>((H57-F57)/J57)*D57</f>
        <v>50.007600000000004</v>
      </c>
      <c r="L57" s="31">
        <f>-(K57)/G57</f>
        <v>0.12709223175000001</v>
      </c>
      <c r="M57" s="27"/>
      <c r="N57" s="40"/>
      <c r="O57" s="29"/>
      <c r="P57" s="30"/>
    </row>
    <row r="58" spans="1:16" x14ac:dyDescent="0.2">
      <c r="A58" s="40" t="s">
        <v>114</v>
      </c>
      <c r="B58" s="19" t="s">
        <v>89</v>
      </c>
      <c r="C58" s="20">
        <v>44946</v>
      </c>
      <c r="D58" s="19">
        <v>1</v>
      </c>
      <c r="E58" s="21">
        <v>1.2027000000000001</v>
      </c>
      <c r="F58" s="19">
        <v>-225</v>
      </c>
      <c r="G58" s="23">
        <f>(F58*D58)/E58</f>
        <v>-187.07907208780242</v>
      </c>
      <c r="H58" s="50">
        <v>-187</v>
      </c>
      <c r="I58" s="19">
        <v>0</v>
      </c>
      <c r="J58" s="21">
        <f>C119</f>
        <v>1.1598237067965669</v>
      </c>
      <c r="K58" s="23">
        <f t="shared" ref="K58:K60" si="20">((H58-F58)/J58)*D58</f>
        <v>32.763600000000004</v>
      </c>
      <c r="L58" s="31">
        <f t="shared" ref="L58:L59" si="21">-(K58)/G58</f>
        <v>0.17513236320000006</v>
      </c>
      <c r="M58" s="27"/>
      <c r="N58" s="40"/>
      <c r="O58" s="29"/>
      <c r="P58" s="30"/>
    </row>
    <row r="59" spans="1:16" x14ac:dyDescent="0.2">
      <c r="A59" s="40" t="s">
        <v>115</v>
      </c>
      <c r="B59" s="19" t="s">
        <v>37</v>
      </c>
      <c r="C59" s="20">
        <v>44610</v>
      </c>
      <c r="D59" s="19">
        <v>1</v>
      </c>
      <c r="E59" s="21">
        <v>1.2027000000000001</v>
      </c>
      <c r="F59" s="19">
        <v>-276</v>
      </c>
      <c r="G59" s="23">
        <f>(F59*D59)/E59</f>
        <v>-229.48366176103764</v>
      </c>
      <c r="H59" s="50">
        <v>-351</v>
      </c>
      <c r="I59" s="19">
        <v>0</v>
      </c>
      <c r="J59" s="21">
        <f>C119</f>
        <v>1.1598237067965669</v>
      </c>
      <c r="K59" s="23">
        <f t="shared" si="20"/>
        <v>-64.665000000000006</v>
      </c>
      <c r="L59" s="26">
        <f t="shared" si="21"/>
        <v>-0.2817847663043479</v>
      </c>
      <c r="M59" s="27"/>
      <c r="N59" s="40"/>
      <c r="O59" s="29"/>
      <c r="P59" s="30"/>
    </row>
    <row r="60" spans="1:16" x14ac:dyDescent="0.2">
      <c r="A60" s="40" t="s">
        <v>116</v>
      </c>
      <c r="B60" s="19" t="s">
        <v>117</v>
      </c>
      <c r="C60" s="20">
        <v>44424</v>
      </c>
      <c r="D60" s="19">
        <v>2</v>
      </c>
      <c r="E60" s="21">
        <v>1.1735</v>
      </c>
      <c r="F60" s="19">
        <v>492</v>
      </c>
      <c r="G60" s="23">
        <f>(F60*D60)/E60</f>
        <v>838.51725607158073</v>
      </c>
      <c r="H60" s="50">
        <v>540</v>
      </c>
      <c r="I60" s="19">
        <v>0</v>
      </c>
      <c r="J60" s="21">
        <f>C119</f>
        <v>1.1598237067965669</v>
      </c>
      <c r="K60" s="23">
        <f t="shared" si="20"/>
        <v>82.771200000000007</v>
      </c>
      <c r="L60" s="31">
        <f>(K60)/G60</f>
        <v>9.8711385365853666E-2</v>
      </c>
      <c r="M60" s="27"/>
      <c r="N60" s="40"/>
      <c r="O60" s="29"/>
      <c r="P60" s="30"/>
    </row>
    <row r="61" spans="1:16" x14ac:dyDescent="0.2">
      <c r="A61" s="40" t="s">
        <v>118</v>
      </c>
      <c r="B61" s="19" t="s">
        <v>69</v>
      </c>
      <c r="C61" s="20">
        <v>44396</v>
      </c>
      <c r="D61" s="19">
        <v>33</v>
      </c>
      <c r="E61" s="21">
        <v>1.5044</v>
      </c>
      <c r="F61" s="19">
        <v>4</v>
      </c>
      <c r="G61" s="51">
        <v>0</v>
      </c>
      <c r="H61" s="50">
        <v>9</v>
      </c>
      <c r="I61" s="52">
        <v>0</v>
      </c>
      <c r="J61" s="53">
        <f>C120</f>
        <v>1.4675667742882301</v>
      </c>
      <c r="K61" s="51">
        <f>H61</f>
        <v>9</v>
      </c>
      <c r="L61" s="31" t="s">
        <v>59</v>
      </c>
      <c r="M61" s="27"/>
      <c r="N61" s="40"/>
      <c r="O61" s="29"/>
      <c r="P61" s="39"/>
    </row>
    <row r="62" spans="1:16" x14ac:dyDescent="0.2">
      <c r="A62" s="2" t="s">
        <v>119</v>
      </c>
      <c r="B62" s="3"/>
      <c r="C62" s="3"/>
      <c r="D62" s="3"/>
      <c r="E62" s="3"/>
      <c r="F62" s="4"/>
      <c r="G62" s="54"/>
      <c r="H62" s="55"/>
      <c r="I62" s="55"/>
      <c r="J62" s="55"/>
      <c r="K62" s="56"/>
      <c r="L62" s="8" t="s">
        <v>1</v>
      </c>
      <c r="M62" s="9">
        <f>SUM(K64:K73)</f>
        <v>636.03116999999997</v>
      </c>
      <c r="N62" s="10"/>
      <c r="O62" s="11"/>
      <c r="P62" s="12">
        <f>M62/E127</f>
        <v>9.0343686563814935E-3</v>
      </c>
    </row>
    <row r="63" spans="1:16" x14ac:dyDescent="0.2">
      <c r="A63" s="13" t="s">
        <v>2</v>
      </c>
      <c r="B63" s="13" t="s">
        <v>3</v>
      </c>
      <c r="C63" s="14" t="s">
        <v>4</v>
      </c>
      <c r="D63" s="13" t="s">
        <v>5</v>
      </c>
      <c r="E63" s="13" t="s">
        <v>6</v>
      </c>
      <c r="F63" s="13" t="s">
        <v>7</v>
      </c>
      <c r="G63" s="13" t="s">
        <v>8</v>
      </c>
      <c r="H63" s="15" t="s">
        <v>9</v>
      </c>
      <c r="I63" s="13" t="s">
        <v>10</v>
      </c>
      <c r="J63" s="13" t="s">
        <v>11</v>
      </c>
      <c r="K63" s="13" t="s">
        <v>12</v>
      </c>
      <c r="L63" s="13" t="s">
        <v>13</v>
      </c>
      <c r="M63" s="16" t="s">
        <v>14</v>
      </c>
      <c r="N63" s="17"/>
      <c r="O63" s="18"/>
      <c r="P63" s="16"/>
    </row>
    <row r="64" spans="1:16" x14ac:dyDescent="0.2">
      <c r="A64" s="19" t="s">
        <v>120</v>
      </c>
      <c r="B64" s="19" t="s">
        <v>121</v>
      </c>
      <c r="C64" s="20">
        <v>44249</v>
      </c>
      <c r="D64" s="19">
        <v>8</v>
      </c>
      <c r="E64" s="21">
        <v>1</v>
      </c>
      <c r="F64" s="57">
        <v>12.22</v>
      </c>
      <c r="G64" s="23">
        <f t="shared" ref="G64:G75" si="22">(F64*D64)/E64</f>
        <v>97.76</v>
      </c>
      <c r="H64" s="58">
        <f>[1]crypto!C8</f>
        <v>6.931912500000001</v>
      </c>
      <c r="I64" s="19">
        <v>0</v>
      </c>
      <c r="J64" s="21">
        <v>1</v>
      </c>
      <c r="K64" s="23">
        <f t="shared" ref="K64:K69" si="23">((H64+I64)/J64)*D64</f>
        <v>55.455300000000008</v>
      </c>
      <c r="L64" s="26">
        <f t="shared" ref="L64:L69" si="24">(K64-G64)/G64</f>
        <v>-0.43274038461538455</v>
      </c>
      <c r="M64" s="27">
        <f t="shared" ref="M64:M69" si="25">K64-G64</f>
        <v>-42.304699999999997</v>
      </c>
      <c r="N64" s="40"/>
      <c r="O64" s="29"/>
      <c r="P64" s="30"/>
    </row>
    <row r="65" spans="1:16" x14ac:dyDescent="0.2">
      <c r="A65" s="19" t="s">
        <v>122</v>
      </c>
      <c r="B65" s="19" t="s">
        <v>123</v>
      </c>
      <c r="C65" s="20">
        <v>44264</v>
      </c>
      <c r="D65" s="19">
        <v>27</v>
      </c>
      <c r="E65" s="21">
        <v>1</v>
      </c>
      <c r="F65" s="57">
        <v>3.72</v>
      </c>
      <c r="G65" s="23">
        <f t="shared" si="22"/>
        <v>100.44000000000001</v>
      </c>
      <c r="H65" s="58">
        <f>[1]crypto!C9</f>
        <v>5.99</v>
      </c>
      <c r="I65" s="19">
        <v>0</v>
      </c>
      <c r="J65" s="21">
        <v>1</v>
      </c>
      <c r="K65" s="23">
        <f t="shared" si="23"/>
        <v>161.73000000000002</v>
      </c>
      <c r="L65" s="31">
        <f t="shared" si="24"/>
        <v>0.61021505376344087</v>
      </c>
      <c r="M65" s="27">
        <f t="shared" si="25"/>
        <v>61.290000000000006</v>
      </c>
      <c r="N65" s="40"/>
      <c r="O65" s="29"/>
      <c r="P65" s="30"/>
    </row>
    <row r="66" spans="1:16" x14ac:dyDescent="0.2">
      <c r="A66" s="19" t="s">
        <v>124</v>
      </c>
      <c r="B66" s="19" t="s">
        <v>125</v>
      </c>
      <c r="C66" s="20">
        <v>44264</v>
      </c>
      <c r="D66" s="19">
        <v>1.1299999999999999</v>
      </c>
      <c r="E66" s="21">
        <v>1</v>
      </c>
      <c r="F66" s="57">
        <v>35.15</v>
      </c>
      <c r="G66" s="23">
        <f t="shared" si="22"/>
        <v>39.719499999999996</v>
      </c>
      <c r="H66" s="58">
        <f>[1]crypto!C10</f>
        <v>38.191499999999998</v>
      </c>
      <c r="I66" s="19">
        <v>0</v>
      </c>
      <c r="J66" s="21">
        <v>1</v>
      </c>
      <c r="K66" s="23">
        <f t="shared" si="23"/>
        <v>43.156394999999996</v>
      </c>
      <c r="L66" s="31">
        <f>(K66-G66)/G66</f>
        <v>8.6529160739687055E-2</v>
      </c>
      <c r="M66" s="27">
        <f t="shared" si="25"/>
        <v>3.4368949999999998</v>
      </c>
      <c r="N66" s="40"/>
      <c r="O66" s="29"/>
      <c r="P66" s="39" t="s">
        <v>126</v>
      </c>
    </row>
    <row r="67" spans="1:16" x14ac:dyDescent="0.2">
      <c r="A67" s="19" t="s">
        <v>127</v>
      </c>
      <c r="B67" s="19" t="s">
        <v>128</v>
      </c>
      <c r="C67" s="20">
        <v>44268</v>
      </c>
      <c r="D67" s="19">
        <v>4</v>
      </c>
      <c r="E67" s="21">
        <v>1</v>
      </c>
      <c r="F67" s="57">
        <v>27.49</v>
      </c>
      <c r="G67" s="23">
        <f t="shared" si="22"/>
        <v>109.96</v>
      </c>
      <c r="H67" s="58">
        <f>[1]crypto!C7</f>
        <v>22.105875000000001</v>
      </c>
      <c r="I67" s="19">
        <v>0</v>
      </c>
      <c r="J67" s="21">
        <v>1</v>
      </c>
      <c r="K67" s="23">
        <f t="shared" si="23"/>
        <v>88.423500000000004</v>
      </c>
      <c r="L67" s="26">
        <f t="shared" si="24"/>
        <v>-0.19585758457620944</v>
      </c>
      <c r="M67" s="27">
        <f t="shared" si="25"/>
        <v>-21.53649999999999</v>
      </c>
      <c r="N67" s="40"/>
      <c r="O67" s="29"/>
      <c r="P67" s="30"/>
    </row>
    <row r="68" spans="1:16" x14ac:dyDescent="0.2">
      <c r="A68" s="19" t="s">
        <v>129</v>
      </c>
      <c r="B68" s="19" t="s">
        <v>130</v>
      </c>
      <c r="C68" s="20">
        <v>44270</v>
      </c>
      <c r="D68" s="19">
        <v>5.75</v>
      </c>
      <c r="E68" s="21">
        <v>1</v>
      </c>
      <c r="F68" s="57">
        <v>16.86</v>
      </c>
      <c r="G68" s="23">
        <f t="shared" si="22"/>
        <v>96.944999999999993</v>
      </c>
      <c r="H68" s="58">
        <f>[1]crypto!C11</f>
        <v>9.2028750000000006</v>
      </c>
      <c r="I68" s="19">
        <v>0</v>
      </c>
      <c r="J68" s="21">
        <v>1</v>
      </c>
      <c r="K68" s="23">
        <f t="shared" si="23"/>
        <v>52.916531250000006</v>
      </c>
      <c r="L68" s="26">
        <f t="shared" si="24"/>
        <v>-0.45415925266903906</v>
      </c>
      <c r="M68" s="27">
        <f t="shared" si="25"/>
        <v>-44.028468749999988</v>
      </c>
      <c r="N68" s="40"/>
      <c r="O68" s="29"/>
      <c r="P68" s="30"/>
    </row>
    <row r="69" spans="1:16" x14ac:dyDescent="0.2">
      <c r="A69" s="19" t="s">
        <v>131</v>
      </c>
      <c r="B69" s="19" t="s">
        <v>132</v>
      </c>
      <c r="C69" s="20">
        <v>44280</v>
      </c>
      <c r="D69" s="19">
        <v>13.25</v>
      </c>
      <c r="E69" s="21">
        <v>1</v>
      </c>
      <c r="F69" s="57">
        <v>3.14</v>
      </c>
      <c r="G69" s="23">
        <f t="shared" si="22"/>
        <v>41.605000000000004</v>
      </c>
      <c r="H69" s="58">
        <f>[1]crypto!C12</f>
        <v>3.6552750000000001</v>
      </c>
      <c r="I69" s="19">
        <v>0</v>
      </c>
      <c r="J69" s="21">
        <v>1</v>
      </c>
      <c r="K69" s="23">
        <f t="shared" si="23"/>
        <v>48.432393750000003</v>
      </c>
      <c r="L69" s="31">
        <f t="shared" si="24"/>
        <v>0.16410031847133755</v>
      </c>
      <c r="M69" s="27">
        <f t="shared" si="25"/>
        <v>6.8273937499999988</v>
      </c>
      <c r="N69" s="40"/>
      <c r="O69" s="29"/>
      <c r="P69" s="39" t="s">
        <v>126</v>
      </c>
    </row>
    <row r="70" spans="1:16" x14ac:dyDescent="0.2">
      <c r="A70" s="19" t="s">
        <v>133</v>
      </c>
      <c r="B70" s="19" t="s">
        <v>134</v>
      </c>
      <c r="C70" s="20">
        <v>44309</v>
      </c>
      <c r="D70" s="19">
        <v>110</v>
      </c>
      <c r="E70" s="21">
        <v>1</v>
      </c>
      <c r="F70" s="57">
        <v>0.91</v>
      </c>
      <c r="G70" s="23">
        <f t="shared" si="22"/>
        <v>100.10000000000001</v>
      </c>
      <c r="H70" s="58">
        <f>[1]crypto!C13</f>
        <v>0.64359750000000004</v>
      </c>
      <c r="I70" s="19">
        <v>0</v>
      </c>
      <c r="J70" s="21">
        <v>1</v>
      </c>
      <c r="K70" s="23">
        <f>((H70+I70)/J70)*D70</f>
        <v>70.795725000000004</v>
      </c>
      <c r="L70" s="26">
        <f>(K70-G70)/G70</f>
        <v>-0.29275000000000001</v>
      </c>
      <c r="M70" s="27">
        <f>K70-G70</f>
        <v>-29.304275000000004</v>
      </c>
      <c r="N70" s="40"/>
      <c r="O70" s="29"/>
      <c r="P70" s="30"/>
    </row>
    <row r="71" spans="1:16" x14ac:dyDescent="0.2">
      <c r="A71" s="19" t="s">
        <v>135</v>
      </c>
      <c r="B71" s="19" t="s">
        <v>136</v>
      </c>
      <c r="C71" s="20">
        <v>44309</v>
      </c>
      <c r="D71" s="19">
        <v>3.6</v>
      </c>
      <c r="E71" s="21">
        <v>1</v>
      </c>
      <c r="F71" s="57">
        <v>27.78</v>
      </c>
      <c r="G71" s="23">
        <f t="shared" si="22"/>
        <v>100.00800000000001</v>
      </c>
      <c r="H71" s="58">
        <f>[1]crypto!C14</f>
        <v>11.367749999999999</v>
      </c>
      <c r="I71" s="19">
        <v>0</v>
      </c>
      <c r="J71" s="21">
        <v>1</v>
      </c>
      <c r="K71" s="23">
        <f>((H71+I71)/J71)*D71</f>
        <v>40.923899999999996</v>
      </c>
      <c r="L71" s="26">
        <f>(K71-G71)/G71</f>
        <v>-0.59079373650108002</v>
      </c>
      <c r="M71" s="27">
        <f>K71-G71</f>
        <v>-59.084100000000014</v>
      </c>
      <c r="N71" s="40"/>
      <c r="O71" s="29"/>
      <c r="P71" s="30"/>
    </row>
    <row r="72" spans="1:16" x14ac:dyDescent="0.2">
      <c r="A72" s="19" t="s">
        <v>137</v>
      </c>
      <c r="B72" s="19" t="s">
        <v>138</v>
      </c>
      <c r="C72" s="20">
        <v>44332</v>
      </c>
      <c r="D72" s="19">
        <v>21.5</v>
      </c>
      <c r="E72" s="21">
        <v>1</v>
      </c>
      <c r="F72" s="57">
        <v>4.51</v>
      </c>
      <c r="G72" s="23">
        <f t="shared" si="22"/>
        <v>96.964999999999989</v>
      </c>
      <c r="H72" s="58">
        <f>[1]crypto!C15</f>
        <v>2.48055</v>
      </c>
      <c r="I72" s="19">
        <v>0</v>
      </c>
      <c r="J72" s="21">
        <v>1</v>
      </c>
      <c r="K72" s="23">
        <f>((H72+I72)/J72)*D72</f>
        <v>53.331825000000002</v>
      </c>
      <c r="L72" s="26">
        <f>(K72-G72)/G72</f>
        <v>-0.4499889135254988</v>
      </c>
      <c r="M72" s="27">
        <f>K72-G72</f>
        <v>-43.633174999999987</v>
      </c>
      <c r="N72" s="40"/>
      <c r="O72" s="29"/>
      <c r="P72" s="30"/>
    </row>
    <row r="73" spans="1:16" x14ac:dyDescent="0.2">
      <c r="A73" s="19" t="s">
        <v>139</v>
      </c>
      <c r="B73" s="19" t="s">
        <v>140</v>
      </c>
      <c r="C73" s="20">
        <v>44332</v>
      </c>
      <c r="D73" s="19">
        <v>0.48</v>
      </c>
      <c r="E73" s="21">
        <v>1</v>
      </c>
      <c r="F73" s="25">
        <v>205.83</v>
      </c>
      <c r="G73" s="23">
        <f t="shared" si="22"/>
        <v>98.798400000000001</v>
      </c>
      <c r="H73" s="58">
        <f>[1]crypto!C16</f>
        <v>43.47</v>
      </c>
      <c r="I73" s="19">
        <v>0</v>
      </c>
      <c r="J73" s="21">
        <v>1</v>
      </c>
      <c r="K73" s="23">
        <f>((H73+I73)/J73)*D73</f>
        <v>20.865599999999997</v>
      </c>
      <c r="L73" s="26">
        <f>(K73-G73)/G73</f>
        <v>-0.78880629645824218</v>
      </c>
      <c r="M73" s="27">
        <f>K73-G73</f>
        <v>-77.9328</v>
      </c>
      <c r="N73" s="40"/>
      <c r="O73" s="29"/>
      <c r="P73" s="30"/>
    </row>
    <row r="74" spans="1:16" x14ac:dyDescent="0.2">
      <c r="A74" s="19" t="s">
        <v>141</v>
      </c>
      <c r="B74" s="19" t="s">
        <v>142</v>
      </c>
      <c r="C74" s="20">
        <v>44447</v>
      </c>
      <c r="D74" s="19">
        <v>0.69</v>
      </c>
      <c r="E74" s="21">
        <v>1</v>
      </c>
      <c r="F74" s="25">
        <v>145</v>
      </c>
      <c r="G74" s="23">
        <f t="shared" si="22"/>
        <v>100.05</v>
      </c>
      <c r="H74" s="58">
        <f>[1]crypto!C17</f>
        <v>137.19999999999999</v>
      </c>
      <c r="I74" s="19">
        <v>0</v>
      </c>
      <c r="J74" s="21">
        <v>1</v>
      </c>
      <c r="K74" s="23">
        <f>((H74+I74)/J74)*D74</f>
        <v>94.667999999999978</v>
      </c>
      <c r="L74" s="26">
        <f t="shared" ref="L74:L75" si="26">(K74-G74)/G74</f>
        <v>-5.3793103448276057E-2</v>
      </c>
      <c r="M74" s="27">
        <f t="shared" ref="M74:M75" si="27">K74-G74</f>
        <v>-5.3820000000000192</v>
      </c>
      <c r="N74" s="40"/>
      <c r="O74" s="29"/>
      <c r="P74" s="30"/>
    </row>
    <row r="75" spans="1:16" x14ac:dyDescent="0.2">
      <c r="A75" s="19" t="s">
        <v>143</v>
      </c>
      <c r="B75" s="19" t="s">
        <v>144</v>
      </c>
      <c r="C75" s="20">
        <v>44447</v>
      </c>
      <c r="D75" s="19">
        <v>3.9E-2</v>
      </c>
      <c r="E75" s="21">
        <v>1</v>
      </c>
      <c r="F75" s="34">
        <v>2569</v>
      </c>
      <c r="G75" s="23">
        <f t="shared" si="22"/>
        <v>100.191</v>
      </c>
      <c r="H75" s="59">
        <f>[1]crypto!C18</f>
        <v>2096.8582500000002</v>
      </c>
      <c r="I75" s="19">
        <v>0</v>
      </c>
      <c r="J75" s="21">
        <v>1</v>
      </c>
      <c r="K75" s="23">
        <f t="shared" ref="K75" si="28">((H75+I75)/J75)*D75</f>
        <v>81.777471750000004</v>
      </c>
      <c r="L75" s="26">
        <f t="shared" si="26"/>
        <v>-0.1837842545737641</v>
      </c>
      <c r="M75" s="27">
        <f t="shared" si="27"/>
        <v>-18.413528249999999</v>
      </c>
      <c r="N75" s="40"/>
      <c r="O75" s="29"/>
      <c r="P75" s="30"/>
    </row>
    <row r="76" spans="1:16" x14ac:dyDescent="0.2">
      <c r="A76" s="2" t="s">
        <v>145</v>
      </c>
      <c r="B76" s="3"/>
      <c r="C76" s="3"/>
      <c r="D76" s="3"/>
      <c r="E76" s="3"/>
      <c r="F76" s="4"/>
      <c r="G76" s="5"/>
      <c r="H76" s="6"/>
      <c r="I76" s="6"/>
      <c r="J76" s="6"/>
      <c r="K76" s="7"/>
      <c r="L76" s="8" t="s">
        <v>1</v>
      </c>
      <c r="M76" s="9">
        <f>SUM(K78:K105)</f>
        <v>15470.708502653979</v>
      </c>
      <c r="N76" s="10"/>
      <c r="O76" s="11"/>
      <c r="P76" s="12">
        <f>M76/P124</f>
        <v>0.27072463082574383</v>
      </c>
    </row>
    <row r="77" spans="1:16" x14ac:dyDescent="0.2">
      <c r="A77" s="13" t="s">
        <v>2</v>
      </c>
      <c r="B77" s="13" t="s">
        <v>3</v>
      </c>
      <c r="C77" s="14" t="s">
        <v>4</v>
      </c>
      <c r="D77" s="13" t="s">
        <v>5</v>
      </c>
      <c r="E77" s="13" t="s">
        <v>6</v>
      </c>
      <c r="F77" s="13" t="s">
        <v>7</v>
      </c>
      <c r="G77" s="13" t="s">
        <v>8</v>
      </c>
      <c r="H77" s="15" t="s">
        <v>9</v>
      </c>
      <c r="I77" s="13" t="s">
        <v>10</v>
      </c>
      <c r="J77" s="13" t="s">
        <v>11</v>
      </c>
      <c r="K77" s="13" t="s">
        <v>12</v>
      </c>
      <c r="L77" s="13" t="s">
        <v>13</v>
      </c>
      <c r="M77" s="16" t="s">
        <v>146</v>
      </c>
      <c r="N77" s="17" t="s">
        <v>147</v>
      </c>
      <c r="O77" s="60" t="s">
        <v>148</v>
      </c>
      <c r="P77" s="16" t="s">
        <v>149</v>
      </c>
    </row>
    <row r="78" spans="1:16" x14ac:dyDescent="0.2">
      <c r="A78" s="19" t="s">
        <v>150</v>
      </c>
      <c r="B78" s="19" t="s">
        <v>151</v>
      </c>
      <c r="C78" s="20">
        <v>43521</v>
      </c>
      <c r="D78" s="19">
        <v>10</v>
      </c>
      <c r="E78" s="21">
        <v>1.1399999999999999</v>
      </c>
      <c r="F78" s="22">
        <v>64.64</v>
      </c>
      <c r="G78" s="23">
        <f t="shared" si="0"/>
        <v>567.01754385964909</v>
      </c>
      <c r="H78" s="44">
        <f>'[1]auto data'!S3</f>
        <v>234.18</v>
      </c>
      <c r="I78" s="25">
        <f>[1]Dividend!P5</f>
        <v>10.969999999999999</v>
      </c>
      <c r="J78" s="21">
        <f>C119</f>
        <v>1.1598237067965669</v>
      </c>
      <c r="K78" s="23">
        <f t="shared" ref="K78:K89" si="29">((H78+I78)/J78)*D78</f>
        <v>2113.6833000000001</v>
      </c>
      <c r="L78" s="31">
        <f>(K78-G78)/G78+1</f>
        <v>3.7277211664603964</v>
      </c>
      <c r="M78" s="61">
        <f>249.88*(1-N78)</f>
        <v>187.41</v>
      </c>
      <c r="N78" s="62">
        <v>0.25</v>
      </c>
      <c r="O78" s="29" t="s">
        <v>152</v>
      </c>
      <c r="P78" s="63">
        <v>2</v>
      </c>
    </row>
    <row r="79" spans="1:16" x14ac:dyDescent="0.2">
      <c r="A79" s="19" t="s">
        <v>153</v>
      </c>
      <c r="B79" s="19" t="s">
        <v>154</v>
      </c>
      <c r="C79" s="20">
        <v>44152</v>
      </c>
      <c r="D79" s="19">
        <v>0.09</v>
      </c>
      <c r="E79" s="21">
        <v>1</v>
      </c>
      <c r="F79" s="19">
        <v>8472.34</v>
      </c>
      <c r="G79" s="23">
        <f t="shared" si="0"/>
        <v>762.51059999999995</v>
      </c>
      <c r="H79" s="45">
        <f>[1]crypto!C2</f>
        <v>41145.921699999999</v>
      </c>
      <c r="I79" s="19">
        <v>0</v>
      </c>
      <c r="J79" s="21">
        <v>1</v>
      </c>
      <c r="K79" s="23">
        <f t="shared" si="29"/>
        <v>3703.1329529999998</v>
      </c>
      <c r="L79" s="31">
        <f t="shared" ref="L79:L86" si="30">(K79-G79)/G79+1</f>
        <v>4.8565002938975539</v>
      </c>
      <c r="M79" s="61"/>
      <c r="N79" s="62"/>
      <c r="O79" s="29" t="s">
        <v>155</v>
      </c>
      <c r="P79" s="63">
        <v>1</v>
      </c>
    </row>
    <row r="80" spans="1:16" x14ac:dyDescent="0.2">
      <c r="A80" s="19" t="s">
        <v>156</v>
      </c>
      <c r="B80" s="19" t="s">
        <v>157</v>
      </c>
      <c r="C80" s="20">
        <v>43140</v>
      </c>
      <c r="D80" s="19">
        <v>20</v>
      </c>
      <c r="E80" s="21">
        <v>1.24</v>
      </c>
      <c r="F80" s="22">
        <v>13.5</v>
      </c>
      <c r="G80" s="23">
        <f t="shared" si="0"/>
        <v>217.74193548387098</v>
      </c>
      <c r="H80" s="44">
        <f>'[1]auto data'!S4</f>
        <v>9.67</v>
      </c>
      <c r="I80" s="19">
        <v>0</v>
      </c>
      <c r="J80" s="21">
        <f>C119</f>
        <v>1.1598237067965669</v>
      </c>
      <c r="K80" s="23">
        <f t="shared" si="29"/>
        <v>166.74948000000001</v>
      </c>
      <c r="L80" s="31">
        <f>(K80-G80)/G80+1</f>
        <v>0.7658124266666666</v>
      </c>
      <c r="M80" s="61">
        <f>10.38*(1-N80)</f>
        <v>7.7850000000000001</v>
      </c>
      <c r="N80" s="62">
        <v>0.25</v>
      </c>
      <c r="O80" s="64" t="s">
        <v>158</v>
      </c>
      <c r="P80" s="63">
        <v>1</v>
      </c>
    </row>
    <row r="81" spans="1:16" x14ac:dyDescent="0.2">
      <c r="A81" s="65" t="s">
        <v>159</v>
      </c>
      <c r="B81" s="65" t="s">
        <v>111</v>
      </c>
      <c r="C81" s="66">
        <v>43187</v>
      </c>
      <c r="D81" s="19">
        <v>22</v>
      </c>
      <c r="E81" s="21">
        <v>1.24</v>
      </c>
      <c r="F81" s="67">
        <v>12.22</v>
      </c>
      <c r="G81" s="23">
        <f t="shared" si="0"/>
        <v>216.80645161290326</v>
      </c>
      <c r="H81" s="44">
        <f>'[1]auto data'!S6</f>
        <v>11.34</v>
      </c>
      <c r="I81" s="25">
        <f>[1]Dividend!P13</f>
        <v>1.0999999999999999E-2</v>
      </c>
      <c r="J81" s="21">
        <f>C119</f>
        <v>1.1598237067965669</v>
      </c>
      <c r="K81" s="23">
        <f t="shared" si="29"/>
        <v>215.3103084</v>
      </c>
      <c r="L81" s="31">
        <f t="shared" si="30"/>
        <v>0.99309917577741391</v>
      </c>
      <c r="M81" s="61"/>
      <c r="N81" s="62"/>
      <c r="O81" s="64" t="s">
        <v>158</v>
      </c>
      <c r="P81" s="63">
        <v>3</v>
      </c>
    </row>
    <row r="82" spans="1:16" x14ac:dyDescent="0.2">
      <c r="A82" s="19" t="s">
        <v>160</v>
      </c>
      <c r="B82" s="19" t="s">
        <v>161</v>
      </c>
      <c r="C82" s="20">
        <v>43102</v>
      </c>
      <c r="D82" s="68">
        <v>8</v>
      </c>
      <c r="E82" s="69">
        <v>1.24</v>
      </c>
      <c r="F82" s="25">
        <v>150</v>
      </c>
      <c r="G82" s="23">
        <f t="shared" ref="G82:G100" si="31">(F82*D82)/E82</f>
        <v>967.74193548387098</v>
      </c>
      <c r="H82" s="44">
        <f>'[1]auto data'!S8</f>
        <v>127.49</v>
      </c>
      <c r="I82" s="70">
        <f>[1]Dividend!P3</f>
        <v>3.5300000000000002</v>
      </c>
      <c r="J82" s="69">
        <f>C119</f>
        <v>1.1598237067965669</v>
      </c>
      <c r="K82" s="71">
        <f t="shared" si="29"/>
        <v>903.72355199999993</v>
      </c>
      <c r="L82" s="31">
        <f t="shared" si="30"/>
        <v>0.93384767039999994</v>
      </c>
      <c r="M82" s="61">
        <f>148.45*(1-N82)</f>
        <v>111.33749999999999</v>
      </c>
      <c r="N82" s="62">
        <v>0.25</v>
      </c>
      <c r="O82" s="64" t="s">
        <v>158</v>
      </c>
      <c r="P82" s="63">
        <v>5</v>
      </c>
    </row>
    <row r="83" spans="1:16" x14ac:dyDescent="0.2">
      <c r="A83" s="19" t="s">
        <v>162</v>
      </c>
      <c r="B83" s="19" t="s">
        <v>19</v>
      </c>
      <c r="C83" s="20">
        <v>43102</v>
      </c>
      <c r="D83" s="68">
        <v>50</v>
      </c>
      <c r="E83" s="69">
        <v>1.24</v>
      </c>
      <c r="F83" s="19">
        <v>5.03</v>
      </c>
      <c r="G83" s="23">
        <f t="shared" si="31"/>
        <v>202.82258064516128</v>
      </c>
      <c r="H83" s="44">
        <f>'[1]auto data'!S9</f>
        <v>5.7</v>
      </c>
      <c r="I83" s="70">
        <v>0</v>
      </c>
      <c r="J83" s="69">
        <f>C119</f>
        <v>1.1598237067965669</v>
      </c>
      <c r="K83" s="72">
        <f t="shared" si="29"/>
        <v>245.72700000000003</v>
      </c>
      <c r="L83" s="31">
        <f t="shared" si="30"/>
        <v>1.2115366998011932</v>
      </c>
      <c r="M83" s="61"/>
      <c r="N83" s="62"/>
      <c r="O83" s="64" t="s">
        <v>158</v>
      </c>
      <c r="P83" s="63">
        <v>6</v>
      </c>
    </row>
    <row r="84" spans="1:16" x14ac:dyDescent="0.2">
      <c r="A84" s="19" t="s">
        <v>163</v>
      </c>
      <c r="B84" s="19" t="s">
        <v>164</v>
      </c>
      <c r="C84" s="20">
        <v>43683</v>
      </c>
      <c r="D84" s="68">
        <v>33</v>
      </c>
      <c r="E84" s="69">
        <v>1.49</v>
      </c>
      <c r="F84" s="19">
        <v>4.6399999999999997</v>
      </c>
      <c r="G84" s="23">
        <f t="shared" si="31"/>
        <v>102.76510067114093</v>
      </c>
      <c r="H84" s="44">
        <f>'[1]auto data'!S10</f>
        <v>6.82</v>
      </c>
      <c r="I84" s="70">
        <f>[1]Dividend!P22</f>
        <v>4.9000000000000009E-2</v>
      </c>
      <c r="J84" s="69">
        <f>C120</f>
        <v>1.4675667742882301</v>
      </c>
      <c r="K84" s="72">
        <f t="shared" si="29"/>
        <v>154.45770780000004</v>
      </c>
      <c r="L84" s="31">
        <f t="shared" si="30"/>
        <v>1.5030171409482764</v>
      </c>
      <c r="M84" s="61"/>
      <c r="N84" s="62"/>
      <c r="O84" s="64" t="s">
        <v>158</v>
      </c>
      <c r="P84" s="63">
        <v>7</v>
      </c>
    </row>
    <row r="85" spans="1:16" x14ac:dyDescent="0.2">
      <c r="A85" s="19" t="s">
        <v>165</v>
      </c>
      <c r="B85" s="19" t="s">
        <v>166</v>
      </c>
      <c r="C85" s="20">
        <v>44155</v>
      </c>
      <c r="D85" s="19">
        <v>1</v>
      </c>
      <c r="E85" s="21">
        <v>1</v>
      </c>
      <c r="F85" s="19">
        <v>212</v>
      </c>
      <c r="G85" s="23">
        <f t="shared" si="31"/>
        <v>212</v>
      </c>
      <c r="H85" s="45">
        <f>[1]crypto!C3</f>
        <v>2833.6350000000002</v>
      </c>
      <c r="I85" s="19">
        <v>0</v>
      </c>
      <c r="J85" s="21">
        <v>1</v>
      </c>
      <c r="K85" s="23">
        <f t="shared" si="29"/>
        <v>2833.6350000000002</v>
      </c>
      <c r="L85" s="31">
        <f t="shared" si="30"/>
        <v>13.36620283018868</v>
      </c>
      <c r="M85" s="61"/>
      <c r="N85" s="62"/>
      <c r="O85" s="29" t="s">
        <v>155</v>
      </c>
      <c r="P85" s="63">
        <v>2</v>
      </c>
    </row>
    <row r="86" spans="1:16" x14ac:dyDescent="0.2">
      <c r="A86" s="19" t="s">
        <v>167</v>
      </c>
      <c r="B86" s="19" t="s">
        <v>168</v>
      </c>
      <c r="C86" s="20">
        <v>43994</v>
      </c>
      <c r="D86" s="19">
        <v>45</v>
      </c>
      <c r="E86" s="21">
        <v>1.1255999999999999</v>
      </c>
      <c r="F86" s="22">
        <v>5</v>
      </c>
      <c r="G86" s="23">
        <f t="shared" si="31"/>
        <v>199.89339019189768</v>
      </c>
      <c r="H86" s="38">
        <f>'[1]auto data'!S11</f>
        <v>6.23</v>
      </c>
      <c r="I86" s="19">
        <v>0</v>
      </c>
      <c r="J86" s="21">
        <f>C119</f>
        <v>1.1598237067965669</v>
      </c>
      <c r="K86" s="23">
        <f t="shared" si="29"/>
        <v>241.71777000000006</v>
      </c>
      <c r="L86" s="31">
        <f t="shared" si="30"/>
        <v>1.2092334307200001</v>
      </c>
      <c r="M86" s="61"/>
      <c r="N86" s="62"/>
      <c r="O86" s="29" t="s">
        <v>158</v>
      </c>
      <c r="P86" s="63">
        <v>8</v>
      </c>
    </row>
    <row r="87" spans="1:16" x14ac:dyDescent="0.2">
      <c r="A87" s="19" t="s">
        <v>169</v>
      </c>
      <c r="B87" s="19" t="s">
        <v>170</v>
      </c>
      <c r="C87" s="20">
        <v>44185</v>
      </c>
      <c r="D87" s="19">
        <v>175</v>
      </c>
      <c r="E87" s="21">
        <v>1</v>
      </c>
      <c r="F87" s="21">
        <v>0.3</v>
      </c>
      <c r="G87" s="23">
        <f t="shared" si="31"/>
        <v>52.5</v>
      </c>
      <c r="H87" s="73">
        <f>[1]crypto!C19</f>
        <v>0.61004625000000001</v>
      </c>
      <c r="I87" s="19">
        <v>0</v>
      </c>
      <c r="J87" s="21">
        <v>1</v>
      </c>
      <c r="K87" s="23">
        <f t="shared" si="29"/>
        <v>106.75809375</v>
      </c>
      <c r="L87" s="31">
        <f>(K87-G87)/G87+1</f>
        <v>2.0334875000000001</v>
      </c>
      <c r="M87" s="61"/>
      <c r="N87" s="62"/>
      <c r="O87" s="29" t="s">
        <v>171</v>
      </c>
      <c r="P87" s="63">
        <v>1</v>
      </c>
    </row>
    <row r="88" spans="1:16" x14ac:dyDescent="0.2">
      <c r="A88" s="19" t="s">
        <v>172</v>
      </c>
      <c r="B88" s="19" t="s">
        <v>173</v>
      </c>
      <c r="C88" s="20">
        <v>44077</v>
      </c>
      <c r="D88" s="19">
        <v>350</v>
      </c>
      <c r="E88" s="21">
        <v>1.55</v>
      </c>
      <c r="F88" s="22">
        <v>0.48499999999999999</v>
      </c>
      <c r="G88" s="23">
        <f t="shared" si="31"/>
        <v>109.51612903225806</v>
      </c>
      <c r="H88" s="24">
        <f>'[1]auto data'!S12</f>
        <v>0.46500000000000002</v>
      </c>
      <c r="I88" s="19">
        <v>0</v>
      </c>
      <c r="J88" s="21">
        <f>C120</f>
        <v>1.4675667742882301</v>
      </c>
      <c r="K88" s="23">
        <f t="shared" si="29"/>
        <v>110.89784999999999</v>
      </c>
      <c r="L88" s="31">
        <f>(K88-G88)/G88+1</f>
        <v>1.0126165979381443</v>
      </c>
      <c r="M88" s="61"/>
      <c r="N88" s="62"/>
      <c r="O88" s="74" t="s">
        <v>174</v>
      </c>
      <c r="P88" s="63">
        <v>6</v>
      </c>
    </row>
    <row r="89" spans="1:16" x14ac:dyDescent="0.2">
      <c r="A89" s="19" t="s">
        <v>175</v>
      </c>
      <c r="B89" s="19" t="s">
        <v>176</v>
      </c>
      <c r="C89" s="20">
        <v>44186</v>
      </c>
      <c r="D89" s="19">
        <v>375</v>
      </c>
      <c r="E89" s="21">
        <v>1</v>
      </c>
      <c r="F89" s="57">
        <v>0.13500000000000001</v>
      </c>
      <c r="G89" s="23">
        <f t="shared" si="31"/>
        <v>50.625</v>
      </c>
      <c r="H89" s="58">
        <f>[1]crypto!C20</f>
        <v>0.25459999999999999</v>
      </c>
      <c r="I89" s="19">
        <v>0</v>
      </c>
      <c r="J89" s="21">
        <v>1</v>
      </c>
      <c r="K89" s="23">
        <f t="shared" si="29"/>
        <v>95.474999999999994</v>
      </c>
      <c r="L89" s="31">
        <f>(K89-G89)/G89+1</f>
        <v>1.8859259259259258</v>
      </c>
      <c r="M89" s="61"/>
      <c r="N89" s="62"/>
      <c r="O89" s="74" t="s">
        <v>171</v>
      </c>
      <c r="P89" s="63">
        <v>2</v>
      </c>
    </row>
    <row r="90" spans="1:16" x14ac:dyDescent="0.2">
      <c r="A90" s="19" t="s">
        <v>177</v>
      </c>
      <c r="B90" s="19" t="s">
        <v>178</v>
      </c>
      <c r="C90" s="20">
        <v>44189</v>
      </c>
      <c r="D90" s="19">
        <v>138</v>
      </c>
      <c r="E90" s="21">
        <v>1</v>
      </c>
      <c r="F90" s="57">
        <v>0.25290000000000001</v>
      </c>
      <c r="G90" s="23">
        <f t="shared" si="31"/>
        <v>34.900200000000005</v>
      </c>
      <c r="H90" s="58">
        <f>[1]crypto!C21</f>
        <v>1.5009999999999999</v>
      </c>
      <c r="I90" s="21">
        <v>2.4759000000000002</v>
      </c>
      <c r="J90" s="21">
        <v>1</v>
      </c>
      <c r="K90" s="23">
        <f>((H90/J90)*(D90+I90))</f>
        <v>210.85432589999999</v>
      </c>
      <c r="L90" s="31">
        <f t="shared" ref="L90:L107" si="32">(K90-G90)/G90</f>
        <v>5.0416366066670095</v>
      </c>
      <c r="M90" s="61"/>
      <c r="N90" s="62"/>
      <c r="O90" s="74" t="s">
        <v>171</v>
      </c>
      <c r="P90" s="63">
        <v>3</v>
      </c>
    </row>
    <row r="91" spans="1:16" x14ac:dyDescent="0.2">
      <c r="A91" s="19" t="s">
        <v>179</v>
      </c>
      <c r="B91" s="19" t="s">
        <v>111</v>
      </c>
      <c r="C91" s="20">
        <v>44033</v>
      </c>
      <c r="D91" s="19">
        <v>39</v>
      </c>
      <c r="E91" s="21">
        <v>1.1000000000000001</v>
      </c>
      <c r="F91" s="22">
        <v>8.92</v>
      </c>
      <c r="G91" s="23">
        <f t="shared" si="31"/>
        <v>316.25454545454545</v>
      </c>
      <c r="H91" s="24">
        <f>H81</f>
        <v>11.34</v>
      </c>
      <c r="I91" s="25">
        <f>I81</f>
        <v>1.0999999999999999E-2</v>
      </c>
      <c r="J91" s="19">
        <v>1.2079</v>
      </c>
      <c r="K91" s="23">
        <f t="shared" ref="K91:K107" si="33">((H91+I91)/J91)*D91</f>
        <v>366.49474294229651</v>
      </c>
      <c r="L91" s="31">
        <f t="shared" si="32"/>
        <v>0.15886000125481822</v>
      </c>
      <c r="M91" s="61"/>
      <c r="N91" s="62"/>
      <c r="O91" s="29" t="s">
        <v>180</v>
      </c>
      <c r="P91" s="75">
        <v>8</v>
      </c>
    </row>
    <row r="92" spans="1:16" x14ac:dyDescent="0.2">
      <c r="A92" s="19" t="s">
        <v>181</v>
      </c>
      <c r="B92" s="19" t="s">
        <v>182</v>
      </c>
      <c r="C92" s="20">
        <v>44206</v>
      </c>
      <c r="D92" s="19">
        <v>0.5</v>
      </c>
      <c r="E92" s="21">
        <v>1</v>
      </c>
      <c r="F92" s="25">
        <v>161.22999999999999</v>
      </c>
      <c r="G92" s="23">
        <f t="shared" si="31"/>
        <v>80.614999999999995</v>
      </c>
      <c r="H92" s="58">
        <f>[1]crypto!C22</f>
        <v>278.58749999999998</v>
      </c>
      <c r="I92" s="19">
        <v>0</v>
      </c>
      <c r="J92" s="21">
        <v>1</v>
      </c>
      <c r="K92" s="23">
        <f t="shared" si="33"/>
        <v>139.29374999999999</v>
      </c>
      <c r="L92" s="31">
        <f t="shared" si="32"/>
        <v>0.727888730385164</v>
      </c>
      <c r="M92" s="61"/>
      <c r="N92" s="62"/>
      <c r="O92" s="74" t="s">
        <v>171</v>
      </c>
      <c r="P92" s="63">
        <v>4</v>
      </c>
    </row>
    <row r="93" spans="1:16" x14ac:dyDescent="0.2">
      <c r="A93" s="19" t="s">
        <v>183</v>
      </c>
      <c r="B93" s="19" t="s">
        <v>184</v>
      </c>
      <c r="C93" s="20">
        <v>44185</v>
      </c>
      <c r="D93" s="19">
        <v>4.5</v>
      </c>
      <c r="E93" s="21">
        <v>1</v>
      </c>
      <c r="F93" s="25">
        <v>10.95</v>
      </c>
      <c r="G93" s="23">
        <f t="shared" si="31"/>
        <v>49.274999999999999</v>
      </c>
      <c r="H93" s="58">
        <f>[1]crypto!C23</f>
        <v>22.48</v>
      </c>
      <c r="I93" s="19">
        <v>0</v>
      </c>
      <c r="J93" s="21">
        <v>1</v>
      </c>
      <c r="K93" s="23">
        <f t="shared" si="33"/>
        <v>101.16</v>
      </c>
      <c r="L93" s="31">
        <f t="shared" si="32"/>
        <v>1.0529680365296803</v>
      </c>
      <c r="M93" s="61"/>
      <c r="N93" s="62"/>
      <c r="O93" s="74" t="s">
        <v>171</v>
      </c>
      <c r="P93" s="63">
        <v>5</v>
      </c>
    </row>
    <row r="94" spans="1:16" x14ac:dyDescent="0.2">
      <c r="A94" s="19" t="s">
        <v>185</v>
      </c>
      <c r="B94" s="19" t="s">
        <v>186</v>
      </c>
      <c r="C94" s="20">
        <v>44197</v>
      </c>
      <c r="D94" s="19">
        <v>10</v>
      </c>
      <c r="E94" s="21">
        <v>1</v>
      </c>
      <c r="F94" s="57">
        <v>4.95</v>
      </c>
      <c r="G94" s="23">
        <f t="shared" si="31"/>
        <v>49.5</v>
      </c>
      <c r="H94" s="58">
        <f>[1]crypto!C24</f>
        <v>32.89</v>
      </c>
      <c r="I94" s="19">
        <v>9.8599999999999993E-2</v>
      </c>
      <c r="J94" s="21">
        <v>1</v>
      </c>
      <c r="K94" s="23">
        <f>((H94+I94)/J94)*D94</f>
        <v>329.88599999999997</v>
      </c>
      <c r="L94" s="31">
        <f t="shared" si="32"/>
        <v>5.6643636363636354</v>
      </c>
      <c r="M94" s="61"/>
      <c r="N94" s="62"/>
      <c r="O94" s="74" t="s">
        <v>171</v>
      </c>
      <c r="P94" s="63">
        <v>6</v>
      </c>
    </row>
    <row r="95" spans="1:16" x14ac:dyDescent="0.2">
      <c r="A95" s="19" t="s">
        <v>187</v>
      </c>
      <c r="B95" s="19" t="s">
        <v>188</v>
      </c>
      <c r="C95" s="20">
        <v>43102</v>
      </c>
      <c r="D95" s="19">
        <v>275</v>
      </c>
      <c r="E95" s="21">
        <v>1.51</v>
      </c>
      <c r="F95" s="22">
        <v>2.1800000000000002</v>
      </c>
      <c r="G95" s="23">
        <f t="shared" si="31"/>
        <v>397.01986754966885</v>
      </c>
      <c r="H95" s="44">
        <f>'[1]auto data'!S14</f>
        <v>4.92</v>
      </c>
      <c r="I95" s="19">
        <v>0</v>
      </c>
      <c r="J95" s="21">
        <f>C120</f>
        <v>1.4675667742882301</v>
      </c>
      <c r="K95" s="23">
        <f t="shared" si="33"/>
        <v>921.93420000000003</v>
      </c>
      <c r="L95" s="31">
        <f t="shared" si="32"/>
        <v>1.3221361834862386</v>
      </c>
      <c r="M95" s="61"/>
      <c r="N95" s="62"/>
      <c r="O95" s="29" t="s">
        <v>189</v>
      </c>
      <c r="P95" s="63">
        <v>1</v>
      </c>
    </row>
    <row r="96" spans="1:16" x14ac:dyDescent="0.2">
      <c r="A96" s="19" t="s">
        <v>190</v>
      </c>
      <c r="B96" s="19" t="s">
        <v>191</v>
      </c>
      <c r="C96" s="20">
        <v>43822</v>
      </c>
      <c r="D96" s="19">
        <v>190</v>
      </c>
      <c r="E96" s="21">
        <v>1.51</v>
      </c>
      <c r="F96" s="22">
        <v>1.18</v>
      </c>
      <c r="G96" s="23">
        <f t="shared" si="31"/>
        <v>148.47682119205297</v>
      </c>
      <c r="H96" s="44">
        <f>'[1]auto data'!T15</f>
        <v>4.9854241267977697</v>
      </c>
      <c r="I96" s="19">
        <v>0</v>
      </c>
      <c r="J96" s="21">
        <f>C120</f>
        <v>1.4675667742882301</v>
      </c>
      <c r="K96" s="23">
        <f t="shared" si="33"/>
        <v>645.44292000000007</v>
      </c>
      <c r="L96" s="31">
        <f t="shared" si="32"/>
        <v>3.3470954915254247</v>
      </c>
      <c r="M96" s="61"/>
      <c r="N96" s="62"/>
      <c r="O96" s="29" t="s">
        <v>189</v>
      </c>
      <c r="P96" s="63">
        <v>2</v>
      </c>
    </row>
    <row r="97" spans="1:16" x14ac:dyDescent="0.2">
      <c r="A97" s="19" t="s">
        <v>192</v>
      </c>
      <c r="B97" s="19" t="s">
        <v>193</v>
      </c>
      <c r="C97" s="20">
        <v>44238</v>
      </c>
      <c r="D97" s="19">
        <v>0.4</v>
      </c>
      <c r="E97" s="21">
        <v>1</v>
      </c>
      <c r="F97" s="57">
        <v>120.94</v>
      </c>
      <c r="G97" s="23">
        <f t="shared" si="31"/>
        <v>48.376000000000005</v>
      </c>
      <c r="H97" s="58">
        <f>[1]crypto!C25</f>
        <v>149.87662499999999</v>
      </c>
      <c r="I97" s="19">
        <v>0</v>
      </c>
      <c r="J97" s="21">
        <v>1</v>
      </c>
      <c r="K97" s="23">
        <f t="shared" si="33"/>
        <v>59.950649999999996</v>
      </c>
      <c r="L97" s="31">
        <f t="shared" si="32"/>
        <v>0.23926430461385792</v>
      </c>
      <c r="M97" s="61"/>
      <c r="N97" s="62"/>
      <c r="O97" s="29" t="s">
        <v>171</v>
      </c>
      <c r="P97" s="63">
        <v>7</v>
      </c>
    </row>
    <row r="98" spans="1:16" x14ac:dyDescent="0.2">
      <c r="A98" s="19" t="s">
        <v>194</v>
      </c>
      <c r="B98" s="19" t="s">
        <v>195</v>
      </c>
      <c r="C98" s="20">
        <v>43374</v>
      </c>
      <c r="D98" s="19">
        <v>700</v>
      </c>
      <c r="E98" s="21">
        <v>1.1499999999999999</v>
      </c>
      <c r="F98" s="22">
        <v>0.66</v>
      </c>
      <c r="G98" s="23">
        <f t="shared" si="31"/>
        <v>401.73913043478262</v>
      </c>
      <c r="H98" s="44">
        <f>'[1]auto data'!S16</f>
        <v>1.69</v>
      </c>
      <c r="I98" s="19">
        <v>0</v>
      </c>
      <c r="J98" s="19">
        <v>1.2088000000000001</v>
      </c>
      <c r="K98" s="23">
        <f t="shared" si="33"/>
        <v>978.65651886168098</v>
      </c>
      <c r="L98" s="31">
        <f t="shared" si="32"/>
        <v>1.436049776387301</v>
      </c>
      <c r="M98" s="61"/>
      <c r="N98" s="62"/>
      <c r="O98" s="29" t="s">
        <v>189</v>
      </c>
      <c r="P98" s="63">
        <v>3</v>
      </c>
    </row>
    <row r="99" spans="1:16" x14ac:dyDescent="0.2">
      <c r="A99" s="19" t="s">
        <v>196</v>
      </c>
      <c r="B99" s="19" t="s">
        <v>197</v>
      </c>
      <c r="C99" s="20">
        <v>43854</v>
      </c>
      <c r="D99" s="19">
        <v>50</v>
      </c>
      <c r="E99" s="21">
        <v>1.46</v>
      </c>
      <c r="F99" s="19">
        <v>3.71</v>
      </c>
      <c r="G99" s="23">
        <f t="shared" si="31"/>
        <v>127.05479452054794</v>
      </c>
      <c r="H99" s="44">
        <f>'[1]auto data'!S17</f>
        <v>8.1</v>
      </c>
      <c r="I99" s="19">
        <v>0</v>
      </c>
      <c r="J99" s="21">
        <f>C120</f>
        <v>1.4675667742882301</v>
      </c>
      <c r="K99" s="23">
        <f t="shared" si="33"/>
        <v>275.96699999999998</v>
      </c>
      <c r="L99" s="31">
        <f t="shared" si="32"/>
        <v>1.1720313746630726</v>
      </c>
      <c r="M99" s="61">
        <f>10.03*(1-N99)</f>
        <v>7.5224999999999991</v>
      </c>
      <c r="N99" s="62">
        <v>0.25</v>
      </c>
      <c r="O99" s="29" t="s">
        <v>198</v>
      </c>
      <c r="P99" s="75">
        <v>2</v>
      </c>
    </row>
    <row r="100" spans="1:16" x14ac:dyDescent="0.2">
      <c r="A100" s="19" t="s">
        <v>199</v>
      </c>
      <c r="B100" s="19" t="s">
        <v>200</v>
      </c>
      <c r="C100" s="20">
        <v>44229</v>
      </c>
      <c r="D100" s="19">
        <v>75</v>
      </c>
      <c r="E100" s="21">
        <v>1.2022999999999999</v>
      </c>
      <c r="F100" s="22">
        <v>1.74</v>
      </c>
      <c r="G100" s="23">
        <f t="shared" si="31"/>
        <v>108.54196124095485</v>
      </c>
      <c r="H100" s="44">
        <f>'[1]auto data'!S18</f>
        <v>3.01</v>
      </c>
      <c r="I100" s="19">
        <v>0</v>
      </c>
      <c r="J100" s="21">
        <f>C119</f>
        <v>1.1598237067965669</v>
      </c>
      <c r="K100" s="23">
        <f t="shared" si="33"/>
        <v>194.64164999999997</v>
      </c>
      <c r="L100" s="31">
        <f t="shared" si="32"/>
        <v>0.79323874172413744</v>
      </c>
      <c r="M100" s="27"/>
      <c r="N100" s="28"/>
      <c r="O100" s="29" t="s">
        <v>189</v>
      </c>
      <c r="P100" s="63">
        <v>4</v>
      </c>
    </row>
    <row r="101" spans="1:16" x14ac:dyDescent="0.2">
      <c r="A101" s="19" t="s">
        <v>201</v>
      </c>
      <c r="B101" s="19" t="s">
        <v>202</v>
      </c>
      <c r="C101" s="20">
        <v>44243</v>
      </c>
      <c r="D101" s="19">
        <v>0.7</v>
      </c>
      <c r="E101" s="21">
        <v>1</v>
      </c>
      <c r="F101" s="57">
        <v>35.270000000000003</v>
      </c>
      <c r="G101" s="23">
        <f>(F101*D101)/E101</f>
        <v>24.689</v>
      </c>
      <c r="H101" s="58">
        <f>[1]crypto!C26</f>
        <v>60.823500000000003</v>
      </c>
      <c r="I101" s="19">
        <v>0</v>
      </c>
      <c r="J101" s="21">
        <v>1</v>
      </c>
      <c r="K101" s="23">
        <f t="shared" si="33"/>
        <v>42.576450000000001</v>
      </c>
      <c r="L101" s="31">
        <f t="shared" si="32"/>
        <v>0.72451091579245819</v>
      </c>
      <c r="M101" s="27"/>
      <c r="N101" s="28"/>
      <c r="O101" s="29" t="s">
        <v>171</v>
      </c>
      <c r="P101" s="63">
        <v>8</v>
      </c>
    </row>
    <row r="102" spans="1:16" x14ac:dyDescent="0.2">
      <c r="A102" s="19" t="s">
        <v>203</v>
      </c>
      <c r="B102" s="19" t="s">
        <v>204</v>
      </c>
      <c r="C102" s="20">
        <v>44202</v>
      </c>
      <c r="D102" s="19">
        <v>0.4</v>
      </c>
      <c r="E102" s="21">
        <v>1</v>
      </c>
      <c r="F102" s="57">
        <v>135</v>
      </c>
      <c r="G102" s="23">
        <f>(F102*D102)/E102</f>
        <v>54</v>
      </c>
      <c r="H102" s="45">
        <f>[1]crypto!C4</f>
        <v>143.5419</v>
      </c>
      <c r="I102" s="19">
        <v>0</v>
      </c>
      <c r="J102" s="21">
        <v>1</v>
      </c>
      <c r="K102" s="23">
        <f t="shared" si="33"/>
        <v>57.416760000000004</v>
      </c>
      <c r="L102" s="31">
        <f t="shared" si="32"/>
        <v>6.3273333333333404E-2</v>
      </c>
      <c r="M102" s="27"/>
      <c r="N102" s="28"/>
      <c r="O102" s="29" t="s">
        <v>171</v>
      </c>
      <c r="P102" s="63">
        <v>9</v>
      </c>
    </row>
    <row r="103" spans="1:16" x14ac:dyDescent="0.2">
      <c r="A103" s="19" t="s">
        <v>205</v>
      </c>
      <c r="B103" s="19" t="s">
        <v>206</v>
      </c>
      <c r="C103" s="20">
        <v>44277</v>
      </c>
      <c r="D103" s="19">
        <v>0.11</v>
      </c>
      <c r="E103" s="21">
        <v>1</v>
      </c>
      <c r="F103" s="57">
        <v>439</v>
      </c>
      <c r="G103" s="23">
        <f>(F103*D103)/E103</f>
        <v>48.29</v>
      </c>
      <c r="H103" s="45">
        <f>[1]crypto!C5</f>
        <v>466.572</v>
      </c>
      <c r="I103" s="19">
        <v>0</v>
      </c>
      <c r="J103" s="21">
        <v>1</v>
      </c>
      <c r="K103" s="23">
        <f t="shared" si="33"/>
        <v>51.322920000000003</v>
      </c>
      <c r="L103" s="31">
        <f t="shared" si="32"/>
        <v>6.2806378132118534E-2</v>
      </c>
      <c r="M103" s="27"/>
      <c r="N103" s="28"/>
      <c r="O103" s="29" t="s">
        <v>171</v>
      </c>
      <c r="P103" s="63">
        <v>10</v>
      </c>
    </row>
    <row r="104" spans="1:16" x14ac:dyDescent="0.2">
      <c r="A104" s="19" t="s">
        <v>207</v>
      </c>
      <c r="B104" s="19" t="s">
        <v>208</v>
      </c>
      <c r="C104" s="20">
        <v>43874</v>
      </c>
      <c r="D104" s="19">
        <v>300</v>
      </c>
      <c r="E104" s="21">
        <v>1.44</v>
      </c>
      <c r="F104" s="19">
        <v>0.37</v>
      </c>
      <c r="G104" s="23">
        <f>(F104*D104)/E104</f>
        <v>77.083333333333343</v>
      </c>
      <c r="H104" s="45">
        <f>'[1]auto data'!P3</f>
        <v>0.53</v>
      </c>
      <c r="I104" s="19">
        <v>0</v>
      </c>
      <c r="J104" s="21">
        <f>C120</f>
        <v>1.4675667742882301</v>
      </c>
      <c r="K104" s="23">
        <f t="shared" si="33"/>
        <v>108.3426</v>
      </c>
      <c r="L104" s="31">
        <f t="shared" si="32"/>
        <v>0.40552562162162148</v>
      </c>
      <c r="M104" s="27"/>
      <c r="N104" s="28"/>
      <c r="O104" s="29" t="s">
        <v>198</v>
      </c>
      <c r="P104" s="63">
        <v>3</v>
      </c>
    </row>
    <row r="105" spans="1:16" x14ac:dyDescent="0.2">
      <c r="A105" s="19" t="s">
        <v>209</v>
      </c>
      <c r="B105" s="19" t="s">
        <v>210</v>
      </c>
      <c r="C105" s="20">
        <v>44294</v>
      </c>
      <c r="D105" s="19">
        <v>50</v>
      </c>
      <c r="E105" s="21">
        <v>1</v>
      </c>
      <c r="F105" s="57">
        <v>1.03</v>
      </c>
      <c r="G105" s="23">
        <f>(F105*D105)/E105</f>
        <v>51.5</v>
      </c>
      <c r="H105" s="58">
        <f>[1]crypto!C6</f>
        <v>1.91</v>
      </c>
      <c r="I105" s="19">
        <v>0</v>
      </c>
      <c r="J105" s="21">
        <v>1</v>
      </c>
      <c r="K105" s="23">
        <f t="shared" si="33"/>
        <v>95.5</v>
      </c>
      <c r="L105" s="31">
        <f t="shared" si="32"/>
        <v>0.85436893203883491</v>
      </c>
      <c r="M105" s="27"/>
      <c r="N105" s="28"/>
      <c r="O105" s="29" t="s">
        <v>171</v>
      </c>
      <c r="P105" s="63">
        <v>11</v>
      </c>
    </row>
    <row r="106" spans="1:16" x14ac:dyDescent="0.2">
      <c r="A106" s="19" t="s">
        <v>211</v>
      </c>
      <c r="B106" s="19" t="s">
        <v>212</v>
      </c>
      <c r="C106" s="20">
        <v>44287</v>
      </c>
      <c r="D106" s="19">
        <v>750</v>
      </c>
      <c r="E106" s="21">
        <v>1.55</v>
      </c>
      <c r="F106" s="22">
        <v>0.37</v>
      </c>
      <c r="G106" s="23">
        <f t="shared" ref="G106:G110" si="34">(F106*D106)/E106</f>
        <v>179.03225806451613</v>
      </c>
      <c r="H106" s="44">
        <f>'[1]auto data'!S19</f>
        <v>0.72</v>
      </c>
      <c r="I106" s="19">
        <v>0</v>
      </c>
      <c r="J106" s="21">
        <f>C121</f>
        <v>1.5984654731457799</v>
      </c>
      <c r="K106" s="23">
        <f t="shared" si="33"/>
        <v>337.82400000000001</v>
      </c>
      <c r="L106" s="31">
        <f t="shared" si="32"/>
        <v>0.8869448648648649</v>
      </c>
      <c r="M106" s="27"/>
      <c r="N106" s="28"/>
      <c r="O106" s="29" t="s">
        <v>189</v>
      </c>
      <c r="P106" s="63">
        <v>5</v>
      </c>
    </row>
    <row r="107" spans="1:16" x14ac:dyDescent="0.2">
      <c r="A107" s="19" t="s">
        <v>213</v>
      </c>
      <c r="B107" s="19" t="s">
        <v>214</v>
      </c>
      <c r="C107" s="20">
        <v>44229</v>
      </c>
      <c r="D107" s="19">
        <v>75</v>
      </c>
      <c r="E107" s="21">
        <v>1.55</v>
      </c>
      <c r="F107" s="22">
        <v>2</v>
      </c>
      <c r="G107" s="23">
        <f t="shared" si="34"/>
        <v>96.774193548387089</v>
      </c>
      <c r="H107" s="44">
        <f>'[1]auto data'!M3</f>
        <v>3.9</v>
      </c>
      <c r="I107" s="19">
        <v>0</v>
      </c>
      <c r="J107" s="21">
        <f>C120</f>
        <v>1.4675667742882301</v>
      </c>
      <c r="K107" s="23">
        <f t="shared" si="33"/>
        <v>199.30949999999999</v>
      </c>
      <c r="L107" s="31">
        <f t="shared" si="32"/>
        <v>1.0595315000000001</v>
      </c>
      <c r="M107" s="27"/>
      <c r="N107" s="28"/>
      <c r="O107" s="29" t="s">
        <v>189</v>
      </c>
      <c r="P107" s="63">
        <v>6</v>
      </c>
    </row>
    <row r="108" spans="1:16" x14ac:dyDescent="0.2">
      <c r="A108" s="19" t="s">
        <v>215</v>
      </c>
      <c r="B108" s="19" t="s">
        <v>216</v>
      </c>
      <c r="C108" s="20">
        <v>44321</v>
      </c>
      <c r="D108" s="19">
        <v>2000</v>
      </c>
      <c r="E108" s="21">
        <v>1.5603</v>
      </c>
      <c r="F108" s="22">
        <v>0.14000000000000001</v>
      </c>
      <c r="G108" s="23">
        <f t="shared" si="34"/>
        <v>179.45266935845672</v>
      </c>
      <c r="H108" s="44">
        <f>'[1]auto data'!S20</f>
        <v>0.22500000000000001</v>
      </c>
      <c r="I108" s="19">
        <v>0</v>
      </c>
      <c r="J108" s="21">
        <f>C121</f>
        <v>1.5984654731457799</v>
      </c>
      <c r="K108" s="23">
        <f>((H108+I108)/J108)*D108</f>
        <v>281.52000000000004</v>
      </c>
      <c r="L108" s="31">
        <f>(K108-G108)/G108</f>
        <v>0.56877020000000011</v>
      </c>
      <c r="M108" s="27"/>
      <c r="N108" s="18"/>
      <c r="O108" s="63" t="s">
        <v>189</v>
      </c>
      <c r="P108" s="63">
        <v>7</v>
      </c>
    </row>
    <row r="109" spans="1:16" x14ac:dyDescent="0.2">
      <c r="A109" s="19" t="s">
        <v>217</v>
      </c>
      <c r="B109" s="19" t="s">
        <v>218</v>
      </c>
      <c r="C109" s="20">
        <v>44281</v>
      </c>
      <c r="D109" s="19">
        <v>2000</v>
      </c>
      <c r="E109" s="21">
        <v>1.55</v>
      </c>
      <c r="F109" s="22">
        <v>0.13</v>
      </c>
      <c r="G109" s="23">
        <f t="shared" si="34"/>
        <v>167.74193548387098</v>
      </c>
      <c r="H109" s="44">
        <f>'[1]auto data'!M7</f>
        <v>0.27</v>
      </c>
      <c r="I109" s="19">
        <v>0</v>
      </c>
      <c r="J109" s="21">
        <f>C121</f>
        <v>1.5984654731457799</v>
      </c>
      <c r="K109" s="23">
        <f t="shared" ref="K109" si="35">((H109+I109)/J109)*D109</f>
        <v>337.82400000000007</v>
      </c>
      <c r="L109" s="31">
        <f t="shared" ref="L109" si="36">(K109-G109)/G109</f>
        <v>1.0139507692307697</v>
      </c>
      <c r="M109" s="27"/>
      <c r="N109" s="18"/>
      <c r="O109" s="63" t="s">
        <v>189</v>
      </c>
      <c r="P109" s="63">
        <v>8</v>
      </c>
    </row>
    <row r="110" spans="1:16" x14ac:dyDescent="0.2">
      <c r="A110" s="19" t="s">
        <v>219</v>
      </c>
      <c r="B110" s="19" t="s">
        <v>220</v>
      </c>
      <c r="C110" s="20">
        <v>44321</v>
      </c>
      <c r="D110" s="19">
        <v>1500</v>
      </c>
      <c r="E110" s="21">
        <v>1.4799</v>
      </c>
      <c r="F110" s="22">
        <v>0.1</v>
      </c>
      <c r="G110" s="23">
        <f t="shared" si="34"/>
        <v>101.35819987837016</v>
      </c>
      <c r="H110" s="44">
        <f>'[1]auto data'!M10</f>
        <v>0.125</v>
      </c>
      <c r="I110" s="19">
        <v>0</v>
      </c>
      <c r="J110" s="21">
        <f>C120</f>
        <v>1.4675667742882301</v>
      </c>
      <c r="K110" s="23">
        <f>((H110+I110)/J110)*D110</f>
        <v>127.7625</v>
      </c>
      <c r="L110" s="31">
        <f>(K110-G110)/G110</f>
        <v>0.26050482500000005</v>
      </c>
      <c r="M110" s="27"/>
      <c r="N110" s="18"/>
      <c r="O110" s="63" t="s">
        <v>189</v>
      </c>
      <c r="P110" s="63">
        <v>9</v>
      </c>
    </row>
    <row r="111" spans="1:16" x14ac:dyDescent="0.2">
      <c r="A111" s="76" t="s">
        <v>221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8"/>
    </row>
    <row r="112" spans="1:16" x14ac:dyDescent="0.2">
      <c r="A112" s="79" t="s">
        <v>222</v>
      </c>
      <c r="B112" s="13" t="s">
        <v>223</v>
      </c>
      <c r="C112" s="14" t="s">
        <v>224</v>
      </c>
      <c r="D112" s="13"/>
      <c r="E112" s="80"/>
      <c r="F112" s="81"/>
      <c r="G112" s="82"/>
      <c r="H112" s="83"/>
      <c r="I112" s="13"/>
      <c r="J112" s="80"/>
      <c r="K112" s="82" t="s">
        <v>225</v>
      </c>
      <c r="L112" s="31"/>
      <c r="M112" s="27"/>
      <c r="N112" s="28"/>
      <c r="O112" s="29"/>
      <c r="P112" s="63"/>
    </row>
    <row r="113" spans="1:16" x14ac:dyDescent="0.2">
      <c r="A113" s="13" t="s">
        <v>226</v>
      </c>
      <c r="B113" s="19"/>
      <c r="C113" s="20"/>
      <c r="D113" s="68"/>
      <c r="E113" s="69"/>
      <c r="F113" s="19"/>
      <c r="G113" s="34"/>
      <c r="H113" s="25"/>
      <c r="I113" s="70"/>
      <c r="J113" s="69"/>
      <c r="K113" s="23">
        <v>8467</v>
      </c>
      <c r="L113" s="84"/>
      <c r="M113" s="63"/>
      <c r="N113" s="28"/>
      <c r="O113" s="29"/>
      <c r="P113" s="63"/>
    </row>
    <row r="114" spans="1:16" x14ac:dyDescent="0.2">
      <c r="A114" s="13" t="s">
        <v>227</v>
      </c>
      <c r="B114" s="19"/>
      <c r="C114" s="20"/>
      <c r="D114" s="68"/>
      <c r="E114" s="69"/>
      <c r="F114" s="19"/>
      <c r="G114" s="34"/>
      <c r="H114" s="25"/>
      <c r="I114" s="70"/>
      <c r="J114" s="69"/>
      <c r="K114" s="23">
        <v>10556</v>
      </c>
      <c r="L114" s="84"/>
      <c r="M114" s="63"/>
      <c r="N114" s="28"/>
      <c r="O114" s="29"/>
      <c r="P114" s="30"/>
    </row>
    <row r="115" spans="1:16" x14ac:dyDescent="0.2">
      <c r="A115" s="13" t="s">
        <v>228</v>
      </c>
      <c r="B115" s="19"/>
      <c r="C115" s="20"/>
      <c r="D115" s="19"/>
      <c r="E115" s="21"/>
      <c r="F115" s="22"/>
      <c r="G115" s="23"/>
      <c r="H115" s="85"/>
      <c r="I115" s="25"/>
      <c r="J115" s="21"/>
      <c r="K115" s="23">
        <f>2938+105</f>
        <v>3043</v>
      </c>
      <c r="L115" s="31"/>
      <c r="M115" s="27"/>
      <c r="N115" s="28"/>
      <c r="O115" s="29"/>
      <c r="P115" s="30"/>
    </row>
    <row r="116" spans="1:16" x14ac:dyDescent="0.2">
      <c r="A116" s="13" t="s">
        <v>229</v>
      </c>
      <c r="B116" s="19"/>
      <c r="C116" s="20"/>
      <c r="D116" s="19"/>
      <c r="E116" s="21"/>
      <c r="F116" s="22"/>
      <c r="G116" s="23"/>
      <c r="H116" s="85"/>
      <c r="I116" s="25"/>
      <c r="J116" s="21"/>
      <c r="K116" s="23">
        <f>634</f>
        <v>634</v>
      </c>
      <c r="L116" s="31"/>
      <c r="M116" s="27"/>
      <c r="N116" s="28"/>
      <c r="O116" s="29"/>
      <c r="P116" s="30"/>
    </row>
    <row r="117" spans="1:16" x14ac:dyDescent="0.2">
      <c r="A117" s="19"/>
      <c r="B117" s="19"/>
      <c r="C117" s="20"/>
      <c r="D117" s="19"/>
      <c r="E117" s="21"/>
      <c r="F117" s="22"/>
      <c r="G117" s="23"/>
      <c r="H117" s="86"/>
      <c r="I117" s="25"/>
      <c r="J117" s="21"/>
      <c r="K117" s="23"/>
      <c r="L117" s="31"/>
      <c r="M117" s="27"/>
      <c r="N117" s="18"/>
      <c r="O117" s="18"/>
      <c r="P117" s="18"/>
    </row>
    <row r="118" spans="1:16" x14ac:dyDescent="0.2">
      <c r="A118" s="76" t="s">
        <v>230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87"/>
      <c r="O118" s="88"/>
      <c r="P118" s="89"/>
    </row>
    <row r="119" spans="1:16" x14ac:dyDescent="0.2">
      <c r="A119" s="19" t="s">
        <v>231</v>
      </c>
      <c r="B119" s="19" t="s">
        <v>232</v>
      </c>
      <c r="C119" s="90">
        <f>'[1]auto data'!D3</f>
        <v>1.1598237067965669</v>
      </c>
      <c r="D119" s="19"/>
      <c r="E119" s="19"/>
      <c r="F119" s="91"/>
      <c r="G119" s="19"/>
      <c r="H119" s="92"/>
      <c r="I119" s="19"/>
      <c r="J119" s="93"/>
      <c r="K119" s="19"/>
      <c r="L119" s="19"/>
      <c r="M119" s="63"/>
      <c r="N119" s="40"/>
      <c r="O119" s="74"/>
      <c r="P119" s="63"/>
    </row>
    <row r="120" spans="1:16" x14ac:dyDescent="0.2">
      <c r="A120" s="19" t="s">
        <v>233</v>
      </c>
      <c r="B120" s="19" t="s">
        <v>234</v>
      </c>
      <c r="C120" s="90">
        <f>'[1]auto data'!D4</f>
        <v>1.4675667742882301</v>
      </c>
      <c r="D120" s="19"/>
      <c r="E120" s="19"/>
      <c r="F120" s="19"/>
      <c r="G120" s="19"/>
      <c r="H120" s="19"/>
      <c r="I120" s="19"/>
      <c r="J120" s="93"/>
      <c r="K120" s="19"/>
      <c r="L120" s="19"/>
      <c r="M120" s="63"/>
      <c r="N120" s="40"/>
      <c r="O120" s="74"/>
      <c r="P120" s="63"/>
    </row>
    <row r="121" spans="1:16" x14ac:dyDescent="0.2">
      <c r="A121" s="19" t="s">
        <v>235</v>
      </c>
      <c r="B121" s="19" t="s">
        <v>236</v>
      </c>
      <c r="C121" s="90">
        <f>'[1]auto data'!D5</f>
        <v>1.5984654731457799</v>
      </c>
      <c r="D121" s="19"/>
      <c r="E121" s="19"/>
      <c r="F121" s="19"/>
      <c r="G121" s="19"/>
      <c r="H121" s="19"/>
      <c r="I121" s="19"/>
      <c r="J121" s="93"/>
      <c r="K121" s="19"/>
      <c r="L121" s="94"/>
      <c r="M121" s="63"/>
      <c r="N121" s="40"/>
      <c r="O121" s="74"/>
      <c r="P121" s="63"/>
    </row>
    <row r="122" spans="1:16" x14ac:dyDescent="0.2">
      <c r="A122" s="19" t="s">
        <v>237</v>
      </c>
      <c r="B122" s="19" t="s">
        <v>238</v>
      </c>
      <c r="C122" s="90">
        <f>'[1]auto data'!D6</f>
        <v>0.85623769158318352</v>
      </c>
      <c r="D122" s="19"/>
      <c r="E122" s="19"/>
      <c r="F122" s="19"/>
      <c r="G122" s="19"/>
      <c r="H122" s="19"/>
      <c r="I122" s="19"/>
      <c r="J122" s="21"/>
      <c r="K122" s="19"/>
      <c r="L122" s="19"/>
      <c r="M122" s="63"/>
      <c r="N122" s="40"/>
      <c r="O122" s="74"/>
      <c r="P122" s="63"/>
    </row>
    <row r="123" spans="1:16" x14ac:dyDescent="0.2">
      <c r="A123" s="76" t="s">
        <v>239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8"/>
    </row>
    <row r="124" spans="1:16" x14ac:dyDescent="0.2">
      <c r="A124" s="95" t="s">
        <v>240</v>
      </c>
      <c r="B124" s="95"/>
      <c r="C124" s="95"/>
      <c r="D124" s="95"/>
      <c r="E124" s="96">
        <f>SUM(G2:G111)</f>
        <v>39053.020790619521</v>
      </c>
      <c r="F124" s="19"/>
      <c r="G124" s="95" t="s">
        <v>241</v>
      </c>
      <c r="H124" s="95"/>
      <c r="I124" s="95"/>
      <c r="J124" s="95"/>
      <c r="K124" s="97">
        <f>SUM(K2:K111)</f>
        <v>50737.324308403979</v>
      </c>
      <c r="L124" s="19"/>
      <c r="M124" s="98" t="s">
        <v>242</v>
      </c>
      <c r="N124" s="99"/>
      <c r="O124" s="100"/>
      <c r="P124" s="101">
        <f>P125+M76+M62+M50+M39+M32+M16+M2+M54</f>
        <v>57145.552126034461</v>
      </c>
    </row>
    <row r="125" spans="1:16" x14ac:dyDescent="0.2">
      <c r="A125" s="95" t="s">
        <v>243</v>
      </c>
      <c r="B125" s="95"/>
      <c r="C125" s="95"/>
      <c r="D125" s="95"/>
      <c r="E125" s="96">
        <v>25000</v>
      </c>
      <c r="F125" s="19"/>
      <c r="G125" s="98" t="s">
        <v>244</v>
      </c>
      <c r="H125" s="99"/>
      <c r="I125" s="99"/>
      <c r="J125" s="100"/>
      <c r="K125" s="102">
        <f>K124-E124</f>
        <v>11684.303517784458</v>
      </c>
      <c r="L125" s="19"/>
      <c r="M125" s="98" t="s">
        <v>245</v>
      </c>
      <c r="N125" s="99"/>
      <c r="O125" s="100"/>
      <c r="P125" s="103">
        <f>E126-E124</f>
        <v>8646.979209380479</v>
      </c>
    </row>
    <row r="126" spans="1:16" x14ac:dyDescent="0.2">
      <c r="A126" s="95" t="s">
        <v>246</v>
      </c>
      <c r="B126" s="95"/>
      <c r="C126" s="95"/>
      <c r="D126" s="95"/>
      <c r="E126" s="96">
        <f>E125+K126</f>
        <v>47700</v>
      </c>
      <c r="F126" s="19"/>
      <c r="G126" s="95" t="s">
        <v>247</v>
      </c>
      <c r="H126" s="95"/>
      <c r="I126" s="95"/>
      <c r="J126" s="95"/>
      <c r="K126" s="97">
        <f>SUM(K113:K118)</f>
        <v>22700</v>
      </c>
      <c r="L126" s="34"/>
      <c r="M126" s="98" t="s">
        <v>248</v>
      </c>
      <c r="N126" s="99"/>
      <c r="O126" s="100"/>
      <c r="P126" s="104">
        <f>P125/P124</f>
        <v>0.15131499981502627</v>
      </c>
    </row>
    <row r="127" spans="1:16" x14ac:dyDescent="0.2">
      <c r="A127" s="95" t="s">
        <v>249</v>
      </c>
      <c r="B127" s="95"/>
      <c r="C127" s="95"/>
      <c r="D127" s="95"/>
      <c r="E127" s="96">
        <f>E126+K127+K126</f>
        <v>70401.285822085047</v>
      </c>
      <c r="F127" s="19"/>
      <c r="G127" s="95" t="s">
        <v>250</v>
      </c>
      <c r="H127" s="95"/>
      <c r="I127" s="95"/>
      <c r="J127" s="95"/>
      <c r="K127" s="105">
        <f>(P124/E125)-1</f>
        <v>1.2858220850413784</v>
      </c>
      <c r="L127" s="34"/>
      <c r="M127" s="46" t="s">
        <v>251</v>
      </c>
      <c r="N127" s="47"/>
      <c r="O127" s="48"/>
      <c r="P127" s="106">
        <f>P76+P62+P54+P50+P39+P32+P16+P2+P126</f>
        <v>0.99790434809769946</v>
      </c>
    </row>
    <row r="128" spans="1:16" x14ac:dyDescent="0.2">
      <c r="A128" s="76" t="s">
        <v>252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8"/>
    </row>
    <row r="129" spans="1:16" x14ac:dyDescent="0.2">
      <c r="A129" s="13" t="s">
        <v>253</v>
      </c>
      <c r="B129" s="13" t="s">
        <v>3</v>
      </c>
      <c r="C129" s="13" t="s">
        <v>254</v>
      </c>
      <c r="D129" s="13" t="s">
        <v>5</v>
      </c>
      <c r="E129" s="13" t="s">
        <v>255</v>
      </c>
      <c r="F129" s="13" t="s">
        <v>256</v>
      </c>
      <c r="G129" s="13" t="s">
        <v>257</v>
      </c>
      <c r="H129" s="16" t="s">
        <v>258</v>
      </c>
      <c r="I129" s="16" t="s">
        <v>259</v>
      </c>
      <c r="J129" s="107" t="s">
        <v>260</v>
      </c>
      <c r="K129" s="46" t="s">
        <v>261</v>
      </c>
      <c r="L129" s="47"/>
      <c r="M129" s="47"/>
      <c r="N129" s="47"/>
      <c r="O129" s="47"/>
      <c r="P129" s="48"/>
    </row>
    <row r="130" spans="1:16" x14ac:dyDescent="0.2">
      <c r="A130" s="19" t="s">
        <v>262</v>
      </c>
      <c r="B130" s="19" t="s">
        <v>263</v>
      </c>
      <c r="C130" s="108"/>
      <c r="D130" s="19">
        <v>20</v>
      </c>
      <c r="E130" s="21">
        <f>C119</f>
        <v>1.1598237067965669</v>
      </c>
      <c r="F130" s="91">
        <f>'[1]auto data'!W6</f>
        <v>28.94</v>
      </c>
      <c r="G130" s="23">
        <f>(F130/E130)*D130</f>
        <v>499.04136</v>
      </c>
      <c r="H130" s="92">
        <v>26</v>
      </c>
      <c r="I130" s="63" t="s">
        <v>264</v>
      </c>
      <c r="J130" s="21" t="s">
        <v>265</v>
      </c>
      <c r="K130" s="109" t="s">
        <v>266</v>
      </c>
      <c r="L130" s="110"/>
      <c r="M130" s="110"/>
      <c r="N130" s="110"/>
      <c r="O130" s="110"/>
      <c r="P130" s="111"/>
    </row>
    <row r="131" spans="1:16" x14ac:dyDescent="0.2">
      <c r="A131" s="19" t="s">
        <v>267</v>
      </c>
      <c r="B131" s="19" t="s">
        <v>268</v>
      </c>
      <c r="C131" s="108"/>
      <c r="D131" s="19">
        <v>30</v>
      </c>
      <c r="E131" s="21">
        <f>C122</f>
        <v>0.85623769158318352</v>
      </c>
      <c r="F131" s="112">
        <f>'[1]auto data'!W7</f>
        <v>2539.5</v>
      </c>
      <c r="G131" s="23">
        <f>(F131/100)/E131*D131</f>
        <v>889.76461499999994</v>
      </c>
      <c r="H131" s="113">
        <v>2000</v>
      </c>
      <c r="I131" s="63" t="s">
        <v>269</v>
      </c>
      <c r="J131" s="21" t="s">
        <v>265</v>
      </c>
      <c r="K131" s="109" t="s">
        <v>270</v>
      </c>
      <c r="L131" s="110"/>
      <c r="M131" s="110"/>
      <c r="N131" s="110"/>
      <c r="O131" s="110"/>
      <c r="P131" s="111"/>
    </row>
    <row r="132" spans="1:16" x14ac:dyDescent="0.2">
      <c r="A132" s="19" t="s">
        <v>271</v>
      </c>
      <c r="B132" s="19" t="s">
        <v>272</v>
      </c>
      <c r="C132" s="108"/>
      <c r="D132" s="19">
        <v>100</v>
      </c>
      <c r="E132" s="21">
        <f>C119</f>
        <v>1.1598237067965669</v>
      </c>
      <c r="F132" s="91">
        <f>'[1]auto data'!W9</f>
        <v>3.39</v>
      </c>
      <c r="G132" s="23">
        <f t="shared" ref="G132:G137" si="37">(F132/E132)*D132</f>
        <v>292.28579999999999</v>
      </c>
      <c r="H132" s="114">
        <v>3.4</v>
      </c>
      <c r="I132" s="63" t="s">
        <v>264</v>
      </c>
      <c r="J132" s="21" t="s">
        <v>265</v>
      </c>
      <c r="K132" s="109" t="s">
        <v>273</v>
      </c>
      <c r="L132" s="110"/>
      <c r="M132" s="110"/>
      <c r="N132" s="110"/>
      <c r="O132" s="110"/>
      <c r="P132" s="111"/>
    </row>
    <row r="133" spans="1:16" x14ac:dyDescent="0.2">
      <c r="A133" s="19" t="s">
        <v>274</v>
      </c>
      <c r="B133" s="19" t="s">
        <v>275</v>
      </c>
      <c r="C133" s="108"/>
      <c r="D133" s="19">
        <v>10</v>
      </c>
      <c r="E133" s="21">
        <f>C119</f>
        <v>1.1598237067965669</v>
      </c>
      <c r="F133" s="91">
        <f>'[1]auto data'!W8</f>
        <v>53.56</v>
      </c>
      <c r="G133" s="23">
        <f t="shared" si="37"/>
        <v>461.79432000000008</v>
      </c>
      <c r="H133" s="92">
        <v>50</v>
      </c>
      <c r="I133" s="63" t="s">
        <v>264</v>
      </c>
      <c r="J133" s="21" t="s">
        <v>265</v>
      </c>
      <c r="K133" s="109" t="s">
        <v>273</v>
      </c>
      <c r="L133" s="110"/>
      <c r="M133" s="110"/>
      <c r="N133" s="110"/>
      <c r="O133" s="110"/>
      <c r="P133" s="111"/>
    </row>
    <row r="134" spans="1:16" x14ac:dyDescent="0.2">
      <c r="A134" s="19" t="s">
        <v>276</v>
      </c>
      <c r="B134" s="19" t="s">
        <v>277</v>
      </c>
      <c r="C134" s="108"/>
      <c r="D134" s="19">
        <v>12</v>
      </c>
      <c r="E134" s="21">
        <f>C119</f>
        <v>1.1598237067965669</v>
      </c>
      <c r="F134" s="91">
        <f>'[1]auto data'!W10</f>
        <v>50.61</v>
      </c>
      <c r="G134" s="23">
        <f t="shared" si="37"/>
        <v>523.631304</v>
      </c>
      <c r="H134" s="92">
        <v>48</v>
      </c>
      <c r="I134" s="63" t="s">
        <v>264</v>
      </c>
      <c r="J134" s="21" t="s">
        <v>265</v>
      </c>
      <c r="K134" s="109" t="s">
        <v>278</v>
      </c>
      <c r="L134" s="110"/>
      <c r="M134" s="110"/>
      <c r="N134" s="110"/>
      <c r="O134" s="110"/>
      <c r="P134" s="111"/>
    </row>
    <row r="135" spans="1:16" x14ac:dyDescent="0.2">
      <c r="A135" s="19" t="s">
        <v>279</v>
      </c>
      <c r="B135" s="19" t="s">
        <v>280</v>
      </c>
      <c r="C135" s="108"/>
      <c r="D135" s="19">
        <v>10</v>
      </c>
      <c r="E135" s="21">
        <f>C119</f>
        <v>1.1598237067965669</v>
      </c>
      <c r="F135" s="91">
        <f>'[1]auto data'!W11</f>
        <v>69.45</v>
      </c>
      <c r="G135" s="23">
        <f t="shared" si="37"/>
        <v>598.79790000000003</v>
      </c>
      <c r="H135" s="92">
        <v>62</v>
      </c>
      <c r="I135" s="63" t="s">
        <v>264</v>
      </c>
      <c r="J135" s="21" t="s">
        <v>265</v>
      </c>
      <c r="K135" s="109" t="s">
        <v>281</v>
      </c>
      <c r="L135" s="110"/>
      <c r="M135" s="110"/>
      <c r="N135" s="110"/>
      <c r="O135" s="110"/>
      <c r="P135" s="111"/>
    </row>
    <row r="136" spans="1:16" x14ac:dyDescent="0.2">
      <c r="A136" s="19" t="s">
        <v>282</v>
      </c>
      <c r="B136" s="19" t="s">
        <v>283</v>
      </c>
      <c r="C136" s="108"/>
      <c r="D136" s="19">
        <v>50</v>
      </c>
      <c r="E136" s="21">
        <f>C121</f>
        <v>1.5984654731457799</v>
      </c>
      <c r="F136" s="91">
        <f>'[1]auto data'!W12</f>
        <v>14.57</v>
      </c>
      <c r="G136" s="23">
        <f t="shared" si="37"/>
        <v>455.74960000000004</v>
      </c>
      <c r="H136" s="92">
        <v>13</v>
      </c>
      <c r="I136" s="63" t="s">
        <v>284</v>
      </c>
      <c r="J136" s="21" t="s">
        <v>265</v>
      </c>
      <c r="K136" s="109" t="s">
        <v>285</v>
      </c>
      <c r="L136" s="110"/>
      <c r="M136" s="110"/>
      <c r="N136" s="110"/>
      <c r="O136" s="110"/>
      <c r="P136" s="111"/>
    </row>
    <row r="137" spans="1:16" x14ac:dyDescent="0.2">
      <c r="A137" s="19" t="s">
        <v>286</v>
      </c>
      <c r="B137" s="19" t="s">
        <v>287</v>
      </c>
      <c r="C137" s="108" t="s">
        <v>288</v>
      </c>
      <c r="D137" s="19">
        <v>700</v>
      </c>
      <c r="E137" s="21">
        <f>C120</f>
        <v>1.4675667742882301</v>
      </c>
      <c r="F137" s="91">
        <f>'[1]auto data'!W13</f>
        <v>0.42</v>
      </c>
      <c r="G137" s="23">
        <f t="shared" si="37"/>
        <v>200.33160000000001</v>
      </c>
      <c r="H137" s="92">
        <v>0.3</v>
      </c>
      <c r="I137" s="63" t="s">
        <v>289</v>
      </c>
      <c r="J137" s="21" t="s">
        <v>265</v>
      </c>
      <c r="K137" s="109" t="s">
        <v>290</v>
      </c>
      <c r="L137" s="110"/>
      <c r="M137" s="110"/>
      <c r="N137" s="110"/>
      <c r="O137" s="110"/>
      <c r="P137" s="111"/>
    </row>
    <row r="138" spans="1:16" x14ac:dyDescent="0.2">
      <c r="A138" s="19"/>
      <c r="B138" s="19"/>
      <c r="C138" s="20"/>
      <c r="D138" s="19"/>
      <c r="E138" s="115"/>
      <c r="F138" s="91"/>
      <c r="G138" s="116"/>
      <c r="H138" s="117"/>
      <c r="I138" s="63"/>
      <c r="J138" s="118"/>
      <c r="K138" s="109"/>
      <c r="L138" s="110"/>
      <c r="M138" s="110"/>
      <c r="N138" s="110"/>
      <c r="O138" s="110"/>
      <c r="P138" s="111"/>
    </row>
  </sheetData>
  <mergeCells count="49">
    <mergeCell ref="K135:P135"/>
    <mergeCell ref="K136:P136"/>
    <mergeCell ref="K137:P137"/>
    <mergeCell ref="K138:P138"/>
    <mergeCell ref="K129:P129"/>
    <mergeCell ref="K130:P130"/>
    <mergeCell ref="K131:P131"/>
    <mergeCell ref="K132:P132"/>
    <mergeCell ref="K133:P133"/>
    <mergeCell ref="K134:P134"/>
    <mergeCell ref="A126:D126"/>
    <mergeCell ref="G126:J126"/>
    <mergeCell ref="M126:O126"/>
    <mergeCell ref="A127:D127"/>
    <mergeCell ref="G127:J127"/>
    <mergeCell ref="M127:O127"/>
    <mergeCell ref="N118:P118"/>
    <mergeCell ref="A124:D124"/>
    <mergeCell ref="G124:J124"/>
    <mergeCell ref="M124:O124"/>
    <mergeCell ref="A125:D125"/>
    <mergeCell ref="G125:J125"/>
    <mergeCell ref="M125:O125"/>
    <mergeCell ref="M55:O55"/>
    <mergeCell ref="A62:F62"/>
    <mergeCell ref="G62:K62"/>
    <mergeCell ref="M62:O62"/>
    <mergeCell ref="A76:F76"/>
    <mergeCell ref="G76:K76"/>
    <mergeCell ref="M76:O76"/>
    <mergeCell ref="A50:F50"/>
    <mergeCell ref="G50:K50"/>
    <mergeCell ref="M50:O50"/>
    <mergeCell ref="A54:F54"/>
    <mergeCell ref="G54:K54"/>
    <mergeCell ref="M54:O54"/>
    <mergeCell ref="A32:F32"/>
    <mergeCell ref="G32:K32"/>
    <mergeCell ref="M32:O32"/>
    <mergeCell ref="A39:F39"/>
    <mergeCell ref="G39:K39"/>
    <mergeCell ref="M39:O39"/>
    <mergeCell ref="A1:P1"/>
    <mergeCell ref="A2:F2"/>
    <mergeCell ref="G2:K2"/>
    <mergeCell ref="M2:O2"/>
    <mergeCell ref="A16:F16"/>
    <mergeCell ref="G16:K16"/>
    <mergeCell ref="M16:O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2021-10-02T06:04:32Z</dcterms:created>
  <dcterms:modified xsi:type="dcterms:W3CDTF">2021-10-02T06:09:30Z</dcterms:modified>
</cp:coreProperties>
</file>