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3383ACBF-D5B5-304A-9390-7B64C48BD270}" xr6:coauthVersionLast="46" xr6:coauthVersionMax="46" xr10:uidLastSave="{00000000-0000-0000-0000-000000000000}"/>
  <bookViews>
    <workbookView xWindow="480" yWindow="1000" windowWidth="25040" windowHeight="14420" xr2:uid="{4C56964F-55C1-C844-850C-71DE3F785D32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5" i="1" l="1"/>
  <c r="F154" i="1"/>
  <c r="F153" i="1"/>
  <c r="G153" i="1" s="1"/>
  <c r="F152" i="1"/>
  <c r="E152" i="1"/>
  <c r="G152" i="1" s="1"/>
  <c r="F151" i="1"/>
  <c r="F150" i="1"/>
  <c r="F149" i="1"/>
  <c r="G149" i="1" s="1"/>
  <c r="F148" i="1"/>
  <c r="E148" i="1"/>
  <c r="G148" i="1" s="1"/>
  <c r="F147" i="1"/>
  <c r="F146" i="1"/>
  <c r="C138" i="1"/>
  <c r="E149" i="1" s="1"/>
  <c r="C137" i="1"/>
  <c r="E154" i="1" s="1"/>
  <c r="G154" i="1" s="1"/>
  <c r="C136" i="1"/>
  <c r="C135" i="1"/>
  <c r="E153" i="1" s="1"/>
  <c r="K113" i="1"/>
  <c r="K142" i="1" s="1"/>
  <c r="E142" i="1" s="1"/>
  <c r="H108" i="1"/>
  <c r="G108" i="1"/>
  <c r="H107" i="1"/>
  <c r="G107" i="1"/>
  <c r="J106" i="1"/>
  <c r="H106" i="1"/>
  <c r="K106" i="1" s="1"/>
  <c r="L106" i="1" s="1"/>
  <c r="G106" i="1"/>
  <c r="J105" i="1"/>
  <c r="K105" i="1" s="1"/>
  <c r="L105" i="1" s="1"/>
  <c r="H105" i="1"/>
  <c r="G105" i="1"/>
  <c r="K104" i="1"/>
  <c r="L104" i="1" s="1"/>
  <c r="J104" i="1"/>
  <c r="H104" i="1"/>
  <c r="G104" i="1"/>
  <c r="L103" i="1"/>
  <c r="K103" i="1"/>
  <c r="H103" i="1"/>
  <c r="G103" i="1"/>
  <c r="H102" i="1"/>
  <c r="G102" i="1"/>
  <c r="H101" i="1"/>
  <c r="K101" i="1" s="1"/>
  <c r="G101" i="1"/>
  <c r="H100" i="1"/>
  <c r="K100" i="1" s="1"/>
  <c r="G100" i="1"/>
  <c r="H99" i="1"/>
  <c r="K99" i="1" s="1"/>
  <c r="G99" i="1"/>
  <c r="J98" i="1"/>
  <c r="H98" i="1"/>
  <c r="K98" i="1" s="1"/>
  <c r="L98" i="1" s="1"/>
  <c r="G98" i="1"/>
  <c r="M97" i="1"/>
  <c r="H97" i="1"/>
  <c r="G97" i="1"/>
  <c r="L96" i="1"/>
  <c r="K96" i="1"/>
  <c r="H96" i="1"/>
  <c r="G96" i="1"/>
  <c r="L95" i="1"/>
  <c r="K95" i="1"/>
  <c r="H95" i="1"/>
  <c r="G95" i="1"/>
  <c r="H94" i="1"/>
  <c r="G94" i="1"/>
  <c r="H93" i="1"/>
  <c r="G93" i="1"/>
  <c r="H92" i="1"/>
  <c r="K92" i="1" s="1"/>
  <c r="L92" i="1" s="1"/>
  <c r="G92" i="1"/>
  <c r="H91" i="1"/>
  <c r="K91" i="1" s="1"/>
  <c r="L91" i="1" s="1"/>
  <c r="G91" i="1"/>
  <c r="H90" i="1"/>
  <c r="K90" i="1" s="1"/>
  <c r="L90" i="1" s="1"/>
  <c r="G90" i="1"/>
  <c r="I89" i="1"/>
  <c r="G89" i="1"/>
  <c r="K88" i="1"/>
  <c r="L88" i="1" s="1"/>
  <c r="H88" i="1"/>
  <c r="G88" i="1"/>
  <c r="K87" i="1"/>
  <c r="L87" i="1" s="1"/>
  <c r="H87" i="1"/>
  <c r="G87" i="1"/>
  <c r="H86" i="1"/>
  <c r="G86" i="1"/>
  <c r="L85" i="1"/>
  <c r="K85" i="1"/>
  <c r="H85" i="1"/>
  <c r="G85" i="1"/>
  <c r="J84" i="1"/>
  <c r="H84" i="1"/>
  <c r="K84" i="1" s="1"/>
  <c r="L84" i="1" s="1"/>
  <c r="G84" i="1"/>
  <c r="H83" i="1"/>
  <c r="K83" i="1" s="1"/>
  <c r="L83" i="1" s="1"/>
  <c r="G83" i="1"/>
  <c r="I82" i="1"/>
  <c r="H82" i="1"/>
  <c r="G82" i="1"/>
  <c r="K81" i="1"/>
  <c r="L81" i="1" s="1"/>
  <c r="J81" i="1"/>
  <c r="H81" i="1"/>
  <c r="G81" i="1"/>
  <c r="M80" i="1"/>
  <c r="J80" i="1"/>
  <c r="I80" i="1"/>
  <c r="H80" i="1"/>
  <c r="K80" i="1" s="1"/>
  <c r="L80" i="1" s="1"/>
  <c r="G80" i="1"/>
  <c r="K79" i="1"/>
  <c r="J79" i="1"/>
  <c r="I79" i="1"/>
  <c r="H79" i="1"/>
  <c r="H89" i="1" s="1"/>
  <c r="K89" i="1" s="1"/>
  <c r="L89" i="1" s="1"/>
  <c r="G79" i="1"/>
  <c r="M78" i="1"/>
  <c r="J78" i="1"/>
  <c r="K78" i="1" s="1"/>
  <c r="L78" i="1" s="1"/>
  <c r="H78" i="1"/>
  <c r="G78" i="1"/>
  <c r="K77" i="1"/>
  <c r="L77" i="1" s="1"/>
  <c r="H77" i="1"/>
  <c r="G77" i="1"/>
  <c r="M76" i="1"/>
  <c r="J76" i="1"/>
  <c r="I76" i="1"/>
  <c r="H76" i="1"/>
  <c r="K76" i="1" s="1"/>
  <c r="G76" i="1"/>
  <c r="H73" i="1"/>
  <c r="K73" i="1" s="1"/>
  <c r="G73" i="1"/>
  <c r="M73" i="1" s="1"/>
  <c r="H72" i="1"/>
  <c r="K72" i="1" s="1"/>
  <c r="G72" i="1"/>
  <c r="K71" i="1"/>
  <c r="H71" i="1"/>
  <c r="G71" i="1"/>
  <c r="L70" i="1"/>
  <c r="K70" i="1"/>
  <c r="H70" i="1"/>
  <c r="G70" i="1"/>
  <c r="M70" i="1" s="1"/>
  <c r="H69" i="1"/>
  <c r="K69" i="1" s="1"/>
  <c r="G69" i="1"/>
  <c r="M69" i="1" s="1"/>
  <c r="H68" i="1"/>
  <c r="K68" i="1" s="1"/>
  <c r="G68" i="1"/>
  <c r="K67" i="1"/>
  <c r="H67" i="1"/>
  <c r="G67" i="1"/>
  <c r="L66" i="1"/>
  <c r="K66" i="1"/>
  <c r="M66" i="1" s="1"/>
  <c r="H66" i="1"/>
  <c r="G66" i="1"/>
  <c r="H65" i="1"/>
  <c r="K65" i="1" s="1"/>
  <c r="G65" i="1"/>
  <c r="M65" i="1" s="1"/>
  <c r="H64" i="1"/>
  <c r="K64" i="1" s="1"/>
  <c r="G64" i="1"/>
  <c r="K63" i="1"/>
  <c r="H63" i="1"/>
  <c r="G63" i="1"/>
  <c r="L62" i="1"/>
  <c r="K62" i="1"/>
  <c r="M62" i="1" s="1"/>
  <c r="H62" i="1"/>
  <c r="G62" i="1"/>
  <c r="K59" i="1"/>
  <c r="L58" i="1"/>
  <c r="K58" i="1"/>
  <c r="J58" i="1"/>
  <c r="G58" i="1"/>
  <c r="L57" i="1"/>
  <c r="K57" i="1"/>
  <c r="J57" i="1"/>
  <c r="G57" i="1"/>
  <c r="L56" i="1"/>
  <c r="K56" i="1"/>
  <c r="J56" i="1"/>
  <c r="G56" i="1"/>
  <c r="L55" i="1"/>
  <c r="K55" i="1"/>
  <c r="J55" i="1"/>
  <c r="G55" i="1"/>
  <c r="L54" i="1"/>
  <c r="K54" i="1"/>
  <c r="J54" i="1"/>
  <c r="G54" i="1"/>
  <c r="M52" i="1"/>
  <c r="O51" i="1"/>
  <c r="P51" i="1" s="1"/>
  <c r="H51" i="1"/>
  <c r="G51" i="1"/>
  <c r="O50" i="1"/>
  <c r="P50" i="1" s="1"/>
  <c r="H50" i="1"/>
  <c r="G50" i="1"/>
  <c r="P47" i="1"/>
  <c r="O47" i="1"/>
  <c r="H47" i="1"/>
  <c r="G47" i="1"/>
  <c r="P46" i="1"/>
  <c r="O46" i="1"/>
  <c r="H46" i="1"/>
  <c r="G46" i="1"/>
  <c r="P45" i="1"/>
  <c r="O45" i="1"/>
  <c r="J45" i="1"/>
  <c r="H45" i="1"/>
  <c r="K45" i="1" s="1"/>
  <c r="G45" i="1"/>
  <c r="P44" i="1"/>
  <c r="O44" i="1"/>
  <c r="H44" i="1"/>
  <c r="G44" i="1"/>
  <c r="P43" i="1"/>
  <c r="O43" i="1"/>
  <c r="M43" i="1"/>
  <c r="K43" i="1"/>
  <c r="L43" i="1" s="1"/>
  <c r="J43" i="1"/>
  <c r="H43" i="1"/>
  <c r="G43" i="1"/>
  <c r="P42" i="1"/>
  <c r="O42" i="1"/>
  <c r="H42" i="1"/>
  <c r="G42" i="1"/>
  <c r="P41" i="1"/>
  <c r="O41" i="1"/>
  <c r="H41" i="1"/>
  <c r="G41" i="1"/>
  <c r="P38" i="1"/>
  <c r="I38" i="1"/>
  <c r="O38" i="1" s="1"/>
  <c r="H38" i="1"/>
  <c r="K38" i="1" s="1"/>
  <c r="G38" i="1"/>
  <c r="K37" i="1"/>
  <c r="L37" i="1" s="1"/>
  <c r="J37" i="1"/>
  <c r="I37" i="1"/>
  <c r="O37" i="1" s="1"/>
  <c r="P37" i="1" s="1"/>
  <c r="H37" i="1"/>
  <c r="G37" i="1"/>
  <c r="O36" i="1"/>
  <c r="P36" i="1" s="1"/>
  <c r="J36" i="1"/>
  <c r="I36" i="1"/>
  <c r="H36" i="1"/>
  <c r="G36" i="1"/>
  <c r="J35" i="1"/>
  <c r="I35" i="1"/>
  <c r="O35" i="1" s="1"/>
  <c r="P35" i="1" s="1"/>
  <c r="H35" i="1"/>
  <c r="G35" i="1"/>
  <c r="O34" i="1"/>
  <c r="P34" i="1" s="1"/>
  <c r="J34" i="1"/>
  <c r="I34" i="1"/>
  <c r="H34" i="1"/>
  <c r="G34" i="1"/>
  <c r="P31" i="1"/>
  <c r="O31" i="1"/>
  <c r="H31" i="1"/>
  <c r="G31" i="1"/>
  <c r="P30" i="1"/>
  <c r="O30" i="1"/>
  <c r="J30" i="1"/>
  <c r="H30" i="1"/>
  <c r="P29" i="1"/>
  <c r="O29" i="1"/>
  <c r="H29" i="1"/>
  <c r="G29" i="1"/>
  <c r="P28" i="1"/>
  <c r="O28" i="1"/>
  <c r="H28" i="1"/>
  <c r="G28" i="1"/>
  <c r="P27" i="1"/>
  <c r="O27" i="1"/>
  <c r="H27" i="1"/>
  <c r="G27" i="1"/>
  <c r="P26" i="1"/>
  <c r="O26" i="1"/>
  <c r="H26" i="1"/>
  <c r="G26" i="1"/>
  <c r="P25" i="1"/>
  <c r="O25" i="1"/>
  <c r="M25" i="1"/>
  <c r="J25" i="1"/>
  <c r="K25" i="1" s="1"/>
  <c r="O24" i="1"/>
  <c r="P24" i="1" s="1"/>
  <c r="J24" i="1"/>
  <c r="H24" i="1"/>
  <c r="G24" i="1"/>
  <c r="O23" i="1"/>
  <c r="P23" i="1" s="1"/>
  <c r="J23" i="1"/>
  <c r="H23" i="1"/>
  <c r="K23" i="1" s="1"/>
  <c r="M23" i="1" s="1"/>
  <c r="G23" i="1"/>
  <c r="O22" i="1"/>
  <c r="P22" i="1" s="1"/>
  <c r="J22" i="1"/>
  <c r="H22" i="1"/>
  <c r="G22" i="1"/>
  <c r="O21" i="1"/>
  <c r="P21" i="1" s="1"/>
  <c r="L21" i="1"/>
  <c r="J21" i="1"/>
  <c r="H21" i="1"/>
  <c r="K21" i="1" s="1"/>
  <c r="M21" i="1" s="1"/>
  <c r="G21" i="1"/>
  <c r="O20" i="1"/>
  <c r="P20" i="1" s="1"/>
  <c r="J20" i="1"/>
  <c r="H20" i="1"/>
  <c r="G20" i="1"/>
  <c r="O19" i="1"/>
  <c r="P19" i="1" s="1"/>
  <c r="J19" i="1"/>
  <c r="H19" i="1"/>
  <c r="K19" i="1" s="1"/>
  <c r="M19" i="1" s="1"/>
  <c r="G19" i="1"/>
  <c r="O18" i="1"/>
  <c r="P18" i="1" s="1"/>
  <c r="J18" i="1"/>
  <c r="H18" i="1"/>
  <c r="G18" i="1"/>
  <c r="O15" i="1"/>
  <c r="P15" i="1" s="1"/>
  <c r="J15" i="1"/>
  <c r="K15" i="1" s="1"/>
  <c r="H15" i="1"/>
  <c r="G15" i="1"/>
  <c r="O14" i="1"/>
  <c r="P14" i="1" s="1"/>
  <c r="L14" i="1"/>
  <c r="J14" i="1"/>
  <c r="K14" i="1" s="1"/>
  <c r="M14" i="1" s="1"/>
  <c r="H14" i="1"/>
  <c r="G14" i="1"/>
  <c r="O13" i="1"/>
  <c r="P13" i="1" s="1"/>
  <c r="J13" i="1"/>
  <c r="K13" i="1" s="1"/>
  <c r="M13" i="1" s="1"/>
  <c r="H13" i="1"/>
  <c r="G13" i="1"/>
  <c r="O12" i="1"/>
  <c r="P12" i="1" s="1"/>
  <c r="L12" i="1"/>
  <c r="J12" i="1"/>
  <c r="K12" i="1" s="1"/>
  <c r="H12" i="1"/>
  <c r="G12" i="1"/>
  <c r="O11" i="1"/>
  <c r="P11" i="1" s="1"/>
  <c r="J11" i="1"/>
  <c r="K11" i="1" s="1"/>
  <c r="H11" i="1"/>
  <c r="G11" i="1"/>
  <c r="O10" i="1"/>
  <c r="P10" i="1" s="1"/>
  <c r="L10" i="1"/>
  <c r="J10" i="1"/>
  <c r="K10" i="1" s="1"/>
  <c r="M10" i="1" s="1"/>
  <c r="H10" i="1"/>
  <c r="G10" i="1"/>
  <c r="O9" i="1"/>
  <c r="P9" i="1" s="1"/>
  <c r="J9" i="1"/>
  <c r="K9" i="1" s="1"/>
  <c r="M9" i="1" s="1"/>
  <c r="H9" i="1"/>
  <c r="G9" i="1"/>
  <c r="O8" i="1"/>
  <c r="P8" i="1" s="1"/>
  <c r="J8" i="1"/>
  <c r="K8" i="1" s="1"/>
  <c r="H8" i="1"/>
  <c r="G8" i="1"/>
  <c r="O7" i="1"/>
  <c r="P7" i="1" s="1"/>
  <c r="K7" i="1"/>
  <c r="M7" i="1" s="1"/>
  <c r="J7" i="1"/>
  <c r="H7" i="1"/>
  <c r="G7" i="1"/>
  <c r="P6" i="1"/>
  <c r="O6" i="1"/>
  <c r="J6" i="1"/>
  <c r="K6" i="1" s="1"/>
  <c r="H6" i="1"/>
  <c r="G6" i="1"/>
  <c r="J5" i="1"/>
  <c r="I5" i="1"/>
  <c r="K5" i="1" s="1"/>
  <c r="H5" i="1"/>
  <c r="G5" i="1"/>
  <c r="O4" i="1"/>
  <c r="P4" i="1" s="1"/>
  <c r="J4" i="1"/>
  <c r="K4" i="1" s="1"/>
  <c r="H4" i="1"/>
  <c r="G4" i="1"/>
  <c r="A1" i="1"/>
  <c r="M45" i="1" l="1"/>
  <c r="L45" i="1"/>
  <c r="M4" i="1"/>
  <c r="M2" i="1"/>
  <c r="L4" i="1"/>
  <c r="M5" i="1"/>
  <c r="L5" i="1"/>
  <c r="M6" i="1"/>
  <c r="L6" i="1"/>
  <c r="L38" i="1"/>
  <c r="M38" i="1"/>
  <c r="K29" i="1"/>
  <c r="M8" i="1"/>
  <c r="L8" i="1"/>
  <c r="O5" i="1"/>
  <c r="P5" i="1" s="1"/>
  <c r="L79" i="1"/>
  <c r="L7" i="1"/>
  <c r="L9" i="1"/>
  <c r="L13" i="1"/>
  <c r="K20" i="1"/>
  <c r="K24" i="1"/>
  <c r="K30" i="1"/>
  <c r="M30" i="1" s="1"/>
  <c r="M37" i="1"/>
  <c r="M60" i="1"/>
  <c r="M63" i="1"/>
  <c r="L63" i="1"/>
  <c r="L65" i="1"/>
  <c r="M67" i="1"/>
  <c r="L67" i="1"/>
  <c r="L69" i="1"/>
  <c r="M71" i="1"/>
  <c r="L71" i="1"/>
  <c r="L73" i="1"/>
  <c r="L99" i="1"/>
  <c r="L101" i="1"/>
  <c r="K107" i="1"/>
  <c r="L107" i="1" s="1"/>
  <c r="E140" i="1"/>
  <c r="P141" i="1" s="1"/>
  <c r="M11" i="1"/>
  <c r="M15" i="1"/>
  <c r="L19" i="1"/>
  <c r="L23" i="1"/>
  <c r="K34" i="1"/>
  <c r="L11" i="1"/>
  <c r="M12" i="1"/>
  <c r="L15" i="1"/>
  <c r="K18" i="1"/>
  <c r="K22" i="1"/>
  <c r="K35" i="1"/>
  <c r="K36" i="1"/>
  <c r="M64" i="1"/>
  <c r="L64" i="1"/>
  <c r="M68" i="1"/>
  <c r="L68" i="1"/>
  <c r="M72" i="1"/>
  <c r="L72" i="1"/>
  <c r="L76" i="1"/>
  <c r="L100" i="1"/>
  <c r="K102" i="1"/>
  <c r="L102" i="1" s="1"/>
  <c r="J108" i="1"/>
  <c r="K108" i="1" s="1"/>
  <c r="L108" i="1" s="1"/>
  <c r="J97" i="1"/>
  <c r="K97" i="1" s="1"/>
  <c r="L97" i="1" s="1"/>
  <c r="J86" i="1"/>
  <c r="K86" i="1" s="1"/>
  <c r="L86" i="1" s="1"/>
  <c r="J47" i="1"/>
  <c r="K47" i="1" s="1"/>
  <c r="J46" i="1"/>
  <c r="K46" i="1" s="1"/>
  <c r="J44" i="1"/>
  <c r="K44" i="1" s="1"/>
  <c r="J42" i="1"/>
  <c r="K42" i="1" s="1"/>
  <c r="J41" i="1"/>
  <c r="K41" i="1" s="1"/>
  <c r="J31" i="1"/>
  <c r="K31" i="1" s="1"/>
  <c r="J102" i="1"/>
  <c r="J94" i="1"/>
  <c r="K94" i="1" s="1"/>
  <c r="L94" i="1" s="1"/>
  <c r="E155" i="1"/>
  <c r="E147" i="1"/>
  <c r="J93" i="1"/>
  <c r="K93" i="1" s="1"/>
  <c r="L93" i="1" s="1"/>
  <c r="J82" i="1"/>
  <c r="K82" i="1" s="1"/>
  <c r="J59" i="1"/>
  <c r="J51" i="1"/>
  <c r="K51" i="1" s="1"/>
  <c r="J50" i="1"/>
  <c r="K50" i="1" s="1"/>
  <c r="J29" i="1"/>
  <c r="J28" i="1"/>
  <c r="K28" i="1" s="1"/>
  <c r="J27" i="1"/>
  <c r="K27" i="1" s="1"/>
  <c r="J26" i="1"/>
  <c r="K26" i="1" s="1"/>
  <c r="G147" i="1"/>
  <c r="G155" i="1"/>
  <c r="E151" i="1"/>
  <c r="G151" i="1" s="1"/>
  <c r="J107" i="1"/>
  <c r="E146" i="1"/>
  <c r="G146" i="1" s="1"/>
  <c r="E150" i="1"/>
  <c r="G150" i="1" s="1"/>
  <c r="L51" i="1" l="1"/>
  <c r="M51" i="1"/>
  <c r="L26" i="1"/>
  <c r="M26" i="1"/>
  <c r="L50" i="1"/>
  <c r="M48" i="1"/>
  <c r="M50" i="1"/>
  <c r="L44" i="1"/>
  <c r="M44" i="1"/>
  <c r="L27" i="1"/>
  <c r="M27" i="1"/>
  <c r="L28" i="1"/>
  <c r="M28" i="1"/>
  <c r="L82" i="1"/>
  <c r="M74" i="1"/>
  <c r="M39" i="1"/>
  <c r="L41" i="1"/>
  <c r="M41" i="1"/>
  <c r="L35" i="1"/>
  <c r="M35" i="1"/>
  <c r="L29" i="1"/>
  <c r="M29" i="1"/>
  <c r="L42" i="1"/>
  <c r="M42" i="1"/>
  <c r="M22" i="1"/>
  <c r="L22" i="1"/>
  <c r="M34" i="1"/>
  <c r="M32" i="1"/>
  <c r="L34" i="1"/>
  <c r="M24" i="1"/>
  <c r="L24" i="1"/>
  <c r="M47" i="1"/>
  <c r="L47" i="1"/>
  <c r="M18" i="1"/>
  <c r="L18" i="1"/>
  <c r="M16" i="1"/>
  <c r="L31" i="1"/>
  <c r="M31" i="1"/>
  <c r="M46" i="1"/>
  <c r="L46" i="1"/>
  <c r="M36" i="1"/>
  <c r="L36" i="1"/>
  <c r="M20" i="1"/>
  <c r="L20" i="1"/>
  <c r="K140" i="1"/>
  <c r="K141" i="1" s="1"/>
  <c r="P74" i="1" l="1"/>
  <c r="P39" i="1"/>
  <c r="P140" i="1"/>
  <c r="K143" i="1" l="1"/>
  <c r="E143" i="1" s="1"/>
  <c r="P60" i="1" s="1"/>
  <c r="P143" i="1" s="1"/>
  <c r="P52" i="1"/>
  <c r="P2" i="1"/>
  <c r="P142" i="1"/>
  <c r="P32" i="1"/>
  <c r="P48" i="1"/>
  <c r="P16" i="1"/>
</calcChain>
</file>

<file path=xl/sharedStrings.xml><?xml version="1.0" encoding="utf-8"?>
<sst xmlns="http://schemas.openxmlformats.org/spreadsheetml/2006/main" count="492" uniqueCount="317">
  <si>
    <t>Big/ Mid Tier Precious Metals Miners, Physical Metals &amp; Royalty's (10-15 open postions)</t>
  </si>
  <si>
    <t>Allocation</t>
  </si>
  <si>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</si>
  <si>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</si>
  <si>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</si>
  <si>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</si>
  <si>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</si>
  <si>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</si>
  <si>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</si>
  <si>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</si>
  <si>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</si>
  <si>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</si>
  <si>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</si>
  <si>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</si>
  <si>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</si>
  <si>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</si>
  <si>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</si>
  <si>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</si>
  <si>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1. Sandstorm Gold ltd</t>
  </si>
  <si>
    <t>SAND</t>
  </si>
  <si>
    <t>2. Wheathon Precious Metals</t>
  </si>
  <si>
    <t>WPM</t>
  </si>
  <si>
    <t>3.Aurcana Silver Corp</t>
  </si>
  <si>
    <t>AUN</t>
  </si>
  <si>
    <t xml:space="preserve">4.VOX Royalty Corp </t>
  </si>
  <si>
    <t>VOX</t>
  </si>
  <si>
    <t>5. Silvercrest Metals Inc</t>
  </si>
  <si>
    <t>SILV</t>
  </si>
  <si>
    <t>6. Sprott Physical Silver Trust</t>
  </si>
  <si>
    <t>PSLV</t>
  </si>
  <si>
    <t>7. Sprott Physical Platina &amp; Pal Trust</t>
  </si>
  <si>
    <t>SPPP</t>
  </si>
  <si>
    <t>8. Empress Royalty Corp</t>
  </si>
  <si>
    <t>EMPR</t>
  </si>
  <si>
    <t>9. Gold Royalty Corp (+ ELY)</t>
  </si>
  <si>
    <t>GROY</t>
  </si>
  <si>
    <t>10. Metalla Royalty Corp</t>
  </si>
  <si>
    <t>MTA</t>
  </si>
  <si>
    <t>11. Endeavour Silver Corp</t>
  </si>
  <si>
    <t>EXK</t>
  </si>
  <si>
    <t>12. Sailfish Royalties Corp</t>
  </si>
  <si>
    <t>FISH</t>
  </si>
  <si>
    <t>Golden eggs Basket (15-20 open positions)</t>
  </si>
  <si>
    <t xml:space="preserve">1.Tudor Gold Corp </t>
  </si>
  <si>
    <t>TUD^</t>
  </si>
  <si>
    <t>4. Karora Resources Inc</t>
  </si>
  <si>
    <t>KRR</t>
  </si>
  <si>
    <t>7.Silver Viper Minerals</t>
  </si>
  <si>
    <t>VIPR</t>
  </si>
  <si>
    <t>11. KORE Mining Ltd</t>
  </si>
  <si>
    <t>KORE</t>
  </si>
  <si>
    <t>12. Fortune Bay Corp</t>
  </si>
  <si>
    <t>FOR</t>
  </si>
  <si>
    <t>15. Reyna Silver Corp</t>
  </si>
  <si>
    <t>RSLV</t>
  </si>
  <si>
    <t>16. Vizsla Resources  Corp</t>
  </si>
  <si>
    <t>VZLA</t>
  </si>
  <si>
    <t>16.a Vizsla Copper Corp</t>
  </si>
  <si>
    <t>VCU</t>
  </si>
  <si>
    <t>SPIN OUT</t>
  </si>
  <si>
    <t>17. Plato Gold Corp</t>
  </si>
  <si>
    <t>PGC^</t>
  </si>
  <si>
    <t>18. Ascot Resources</t>
  </si>
  <si>
    <t>AOT^</t>
  </si>
  <si>
    <t>20. Silver One Resources Inc</t>
  </si>
  <si>
    <t>SVE</t>
  </si>
  <si>
    <t>21. First Mining Gold Corp</t>
  </si>
  <si>
    <t>FF</t>
  </si>
  <si>
    <t>21 a. Treasure Metals Inc</t>
  </si>
  <si>
    <t>TML</t>
  </si>
  <si>
    <t>22. NuLegacy Gold</t>
  </si>
  <si>
    <t>NUG</t>
  </si>
  <si>
    <t>Boring Dividend Income (10-15 open positions)</t>
  </si>
  <si>
    <t>Gamco Global G&amp;Nat res</t>
  </si>
  <si>
    <t>GGN</t>
  </si>
  <si>
    <t>Gamco Nat res, Gold &amp; inc trust</t>
  </si>
  <si>
    <t>GNT</t>
  </si>
  <si>
    <t>Altria</t>
  </si>
  <si>
    <t>MO</t>
  </si>
  <si>
    <t>Reaves Utility Income Fund</t>
  </si>
  <si>
    <t>UTG</t>
  </si>
  <si>
    <t>Royal Dutch Shell</t>
  </si>
  <si>
    <t>RDSA</t>
  </si>
  <si>
    <t>Uranium (10-15 open positions)</t>
  </si>
  <si>
    <t>6. Denison Mines Corp</t>
  </si>
  <si>
    <t>DNN</t>
  </si>
  <si>
    <t>7. Global Atomic</t>
  </si>
  <si>
    <t>GLO</t>
  </si>
  <si>
    <t>8. Energy Fuels</t>
  </si>
  <si>
    <t>UUUU</t>
  </si>
  <si>
    <t>10. Encore Energy Corp</t>
  </si>
  <si>
    <t>EU</t>
  </si>
  <si>
    <t>14. Boss Energy Ltd</t>
  </si>
  <si>
    <t>BOE</t>
  </si>
  <si>
    <t>15. UEX Corporation</t>
  </si>
  <si>
    <t>UEX</t>
  </si>
  <si>
    <t>16. Fission Uranium Corp</t>
  </si>
  <si>
    <t>FCU</t>
  </si>
  <si>
    <t>EV-metals &amp; Base Metals (5-10 open positions)</t>
  </si>
  <si>
    <t>6. Nova Royalty Corp</t>
  </si>
  <si>
    <t>NOVR</t>
  </si>
  <si>
    <t>7. Electric Royalties Ltd</t>
  </si>
  <si>
    <t>ELEC</t>
  </si>
  <si>
    <t>Opties</t>
  </si>
  <si>
    <t>Put/Call/Warrant</t>
  </si>
  <si>
    <t>O/C</t>
  </si>
  <si>
    <t>geschreven Put 2022jan $10</t>
  </si>
  <si>
    <t>AG</t>
  </si>
  <si>
    <t>closed</t>
  </si>
  <si>
    <t>geschreven Put 2023jan $7</t>
  </si>
  <si>
    <t>geschreven Put 2023jan $5</t>
  </si>
  <si>
    <t>geschreven Put 2022feb $10</t>
  </si>
  <si>
    <t xml:space="preserve">Call 2021dec  $20 </t>
  </si>
  <si>
    <t>VIX</t>
  </si>
  <si>
    <t>warrant: 07aug2023 1,5 call</t>
  </si>
  <si>
    <t>Crypto's box, max 10-15 open  positions</t>
  </si>
  <si>
    <t>11. Band Protocol</t>
  </si>
  <si>
    <t>BAND</t>
  </si>
  <si>
    <t>12. Tezos</t>
  </si>
  <si>
    <t>XTZ</t>
  </si>
  <si>
    <t>13. Numeraire</t>
  </si>
  <si>
    <t>NMR</t>
  </si>
  <si>
    <t>FS</t>
  </si>
  <si>
    <t>14. Uniswap</t>
  </si>
  <si>
    <t>UNI</t>
  </si>
  <si>
    <t>15. Sushiswap</t>
  </si>
  <si>
    <t>SUSHI</t>
  </si>
  <si>
    <t>17. EOS</t>
  </si>
  <si>
    <t>EOS</t>
  </si>
  <si>
    <t>19. Decentraland</t>
  </si>
  <si>
    <t>MANA</t>
  </si>
  <si>
    <t>20. AmpleForth Gov token</t>
  </si>
  <si>
    <t>FORTH</t>
  </si>
  <si>
    <t>21. 1inch</t>
  </si>
  <si>
    <t>1INCH</t>
  </si>
  <si>
    <t>22. Internet computer</t>
  </si>
  <si>
    <t>ICP</t>
  </si>
  <si>
    <t>23. Solana</t>
  </si>
  <si>
    <t>SOL</t>
  </si>
  <si>
    <t>24. Maker</t>
  </si>
  <si>
    <t>MKR</t>
  </si>
  <si>
    <t>Free Growth Stocks (FGS)</t>
  </si>
  <si>
    <t>stoploss</t>
  </si>
  <si>
    <t>stop%</t>
  </si>
  <si>
    <t>7B</t>
  </si>
  <si>
    <t>nr</t>
  </si>
  <si>
    <t>2. Innovative Industrial Properties</t>
  </si>
  <si>
    <t>IIPR</t>
  </si>
  <si>
    <t>weed</t>
  </si>
  <si>
    <t>3. Bitcoin</t>
  </si>
  <si>
    <t>BTC</t>
  </si>
  <si>
    <t>crypto</t>
  </si>
  <si>
    <t>4. Pretium Resources Inc</t>
  </si>
  <si>
    <t>PVG</t>
  </si>
  <si>
    <t>precious</t>
  </si>
  <si>
    <t>6. First Majestic Silver</t>
  </si>
  <si>
    <t>8. Franco Nevada</t>
  </si>
  <si>
    <t>FNV</t>
  </si>
  <si>
    <t>9. Sandstorm Gold</t>
  </si>
  <si>
    <t>10. Metella Royalty &amp; Streaming Ltd</t>
  </si>
  <si>
    <t>MTA^%</t>
  </si>
  <si>
    <t>11. Ethereum</t>
  </si>
  <si>
    <t>ETH</t>
  </si>
  <si>
    <t>12.Coeur Mining Inc</t>
  </si>
  <si>
    <t>CDE</t>
  </si>
  <si>
    <t>13. The Graph</t>
  </si>
  <si>
    <t>GRT</t>
  </si>
  <si>
    <t>box</t>
  </si>
  <si>
    <t>15. Defiance Silver Corp</t>
  </si>
  <si>
    <t>DEF</t>
  </si>
  <si>
    <t>basket</t>
  </si>
  <si>
    <t>17. Stellar Lumens</t>
  </si>
  <si>
    <t>XLM</t>
  </si>
  <si>
    <t>18. Algorand</t>
  </si>
  <si>
    <t>ALGO</t>
  </si>
  <si>
    <t>19. First Majestic Silver</t>
  </si>
  <si>
    <t>Precious</t>
  </si>
  <si>
    <t>20. Compound</t>
  </si>
  <si>
    <t>COMP</t>
  </si>
  <si>
    <t>21. Chainlink</t>
  </si>
  <si>
    <t>LINK</t>
  </si>
  <si>
    <t>22. Cosmos</t>
  </si>
  <si>
    <t>ATOM</t>
  </si>
  <si>
    <t>23. Nexgen Energy</t>
  </si>
  <si>
    <t>NXE^</t>
  </si>
  <si>
    <t xml:space="preserve">bullet </t>
  </si>
  <si>
    <t>24. Uranium Royalty Corp</t>
  </si>
  <si>
    <t>URC^</t>
  </si>
  <si>
    <t>25. Dash</t>
  </si>
  <si>
    <t>DASH</t>
  </si>
  <si>
    <t>26. Ur-Energy Inc</t>
  </si>
  <si>
    <t>URG</t>
  </si>
  <si>
    <t>27. Ivanhoe Mines</t>
  </si>
  <si>
    <t>IVN</t>
  </si>
  <si>
    <t>battery</t>
  </si>
  <si>
    <t>28. Uranium Energy Corp</t>
  </si>
  <si>
    <t>UEC</t>
  </si>
  <si>
    <t>29. Filecoin</t>
  </si>
  <si>
    <t>FIL</t>
  </si>
  <si>
    <t>30. Litecoin</t>
  </si>
  <si>
    <t>LTC</t>
  </si>
  <si>
    <t>31. Bitcoin Cash</t>
  </si>
  <si>
    <t>BCH</t>
  </si>
  <si>
    <t>32. Atico Mining Corp</t>
  </si>
  <si>
    <t>ATY^</t>
  </si>
  <si>
    <t>33. Cardano</t>
  </si>
  <si>
    <t>ADA</t>
  </si>
  <si>
    <t>34. Paladin Energy Ltd</t>
  </si>
  <si>
    <t>PDN</t>
  </si>
  <si>
    <t>35. IsoEnergy Ltd</t>
  </si>
  <si>
    <t>ISO^</t>
  </si>
  <si>
    <t>36. Peninsula Energy Inc</t>
  </si>
  <si>
    <t>PEN</t>
  </si>
  <si>
    <t>37. Bannerman Resources ltd</t>
  </si>
  <si>
    <t>BMN</t>
  </si>
  <si>
    <t>38. Anfield Energy Inc</t>
  </si>
  <si>
    <t>AEC</t>
  </si>
  <si>
    <t>Closed positions</t>
  </si>
  <si>
    <t>Results</t>
  </si>
  <si>
    <t>ticker</t>
  </si>
  <si>
    <t>date</t>
  </si>
  <si>
    <t>profit</t>
  </si>
  <si>
    <t>Resultaat 2018-20</t>
  </si>
  <si>
    <t>Resultaat Q1 2021</t>
  </si>
  <si>
    <t>Resultaat Q2 2021</t>
  </si>
  <si>
    <t>Silver Elephant Mining Corp</t>
  </si>
  <si>
    <t>ELEF^</t>
  </si>
  <si>
    <t>Dolly Varden Silver</t>
  </si>
  <si>
    <t>DV</t>
  </si>
  <si>
    <t>Granada Gold Mining</t>
  </si>
  <si>
    <t>GGM</t>
  </si>
  <si>
    <t>Energy Fuels</t>
  </si>
  <si>
    <t>Encore Energy Corp</t>
  </si>
  <si>
    <t>VOX Royalty Corp</t>
  </si>
  <si>
    <t>GR Silver Mining</t>
  </si>
  <si>
    <t>GRSL</t>
  </si>
  <si>
    <t>Lundin Mining</t>
  </si>
  <si>
    <t>LUN</t>
  </si>
  <si>
    <t>New Pacific Metals</t>
  </si>
  <si>
    <t>NUAG</t>
  </si>
  <si>
    <t>UEX corporation</t>
  </si>
  <si>
    <t>Paladin Energy Ltd</t>
  </si>
  <si>
    <t>IsoEnergy Ltd</t>
  </si>
  <si>
    <t>Peninsula Energy Inc</t>
  </si>
  <si>
    <t>Bannerman Resources</t>
  </si>
  <si>
    <t>Anfield Energy Inc</t>
  </si>
  <si>
    <t>Bear Creek Mining</t>
  </si>
  <si>
    <t>BCM^</t>
  </si>
  <si>
    <t>Brixton Metals Corp</t>
  </si>
  <si>
    <t>BBB</t>
  </si>
  <si>
    <t>Denison Mines Corp</t>
  </si>
  <si>
    <t>Currency rates</t>
  </si>
  <si>
    <t>Amerikaanse dollar</t>
  </si>
  <si>
    <t>$</t>
  </si>
  <si>
    <t>Canadese dollar</t>
  </si>
  <si>
    <t>CAD</t>
  </si>
  <si>
    <t>Australische dollar</t>
  </si>
  <si>
    <t>AUD</t>
  </si>
  <si>
    <t>Engelse pond</t>
  </si>
  <si>
    <t>£</t>
  </si>
  <si>
    <t>Total Finance</t>
  </si>
  <si>
    <t>CASH SPENT ON STOCKS</t>
  </si>
  <si>
    <t>PROFIT GENERATED/LOST ON STOCKS</t>
  </si>
  <si>
    <t>Capital now</t>
  </si>
  <si>
    <t>STARTCAPITAL 2020</t>
  </si>
  <si>
    <t>PROFIT/LOSS STOCKS IN PORTFOLIO</t>
  </si>
  <si>
    <t>CASH Allocation</t>
  </si>
  <si>
    <t>STARTCAPITAL 2020 + PROFIT STOCKS SOLD</t>
  </si>
  <si>
    <t>PROFIT/LOSS STOCKS SOLD</t>
  </si>
  <si>
    <t>CASH%</t>
  </si>
  <si>
    <t>STARTCAPITAL 2020 + PROFIT STOCKS SOLD+PROFIT PORTFOLIO</t>
  </si>
  <si>
    <t>TOTAL RENDEMENT 2018-21</t>
  </si>
  <si>
    <t>CHECK</t>
  </si>
  <si>
    <t>Watchlist</t>
  </si>
  <si>
    <t>Investment proposal</t>
  </si>
  <si>
    <t>Focus</t>
  </si>
  <si>
    <t>Rec. Exch rate</t>
  </si>
  <si>
    <t>Rec. Price</t>
  </si>
  <si>
    <t>Euro</t>
  </si>
  <si>
    <t>Target</t>
  </si>
  <si>
    <t>Beurs</t>
  </si>
  <si>
    <t>Buy or Sell</t>
  </si>
  <si>
    <t>Remarks &amp; Reason</t>
  </si>
  <si>
    <t>MPLX LP</t>
  </si>
  <si>
    <t>MPLX</t>
  </si>
  <si>
    <t>NYSE</t>
  </si>
  <si>
    <t>Buy</t>
  </si>
  <si>
    <t>Buy on a dip in oil, be patient/ Big dividends 9%</t>
  </si>
  <si>
    <t>Virginia Energy Resources</t>
  </si>
  <si>
    <t>VUI</t>
  </si>
  <si>
    <t>*</t>
  </si>
  <si>
    <t>TSX</t>
  </si>
  <si>
    <t>Buy on a dip in uranium, be patient/ Uranium speculation</t>
  </si>
  <si>
    <t>Deep Yellow Ltd</t>
  </si>
  <si>
    <t>DYL</t>
  </si>
  <si>
    <t>ASX</t>
  </si>
  <si>
    <t>British Tabacco Ltd</t>
  </si>
  <si>
    <t>BATS</t>
  </si>
  <si>
    <t>LSE</t>
  </si>
  <si>
    <t>Buy on a dip on overall market be patient/ Big dividends</t>
  </si>
  <si>
    <t>B2Gold Corporation</t>
  </si>
  <si>
    <t>BTG</t>
  </si>
  <si>
    <t>Buy on dip in gold/ gold dividend stock</t>
  </si>
  <si>
    <t>Newmont Corporation</t>
  </si>
  <si>
    <t>NEM</t>
  </si>
  <si>
    <t>BHP group</t>
  </si>
  <si>
    <t>BBL</t>
  </si>
  <si>
    <t>Buy on dip in stock on 200 day SMA/ 10% dividend stock</t>
  </si>
  <si>
    <t xml:space="preserve">Rio Tinto </t>
  </si>
  <si>
    <t>RIO</t>
  </si>
  <si>
    <t>Buy on dip in stock on 200 day SMA/ 14% dividend stock</t>
  </si>
  <si>
    <t>Fortescue Metals</t>
  </si>
  <si>
    <t>FMG</t>
  </si>
  <si>
    <t>Buy on dip in stock on 200 day SMA/ 23% dividend stock</t>
  </si>
  <si>
    <t>Snowline Gold Corp</t>
  </si>
  <si>
    <t>SGD</t>
  </si>
  <si>
    <t>Buy on recent dip in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</si>
</sst>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0.000"/>
    <numFmt numFmtId="170" formatCode="_([$€-2]\ * #,##0.00_);_([$€-2]\ * \(#,##0.00\);_([$€-2]\ * &quot;-&quot;??_);_(@_)"/>
    <numFmt numFmtId="171" formatCode="_(* #,##0_);_(* \(#,##0\);_(* &quot;-&quot;??_);_(@_)"/>
    <numFmt numFmtId="172" formatCode="_(* #,##0.0000_);_(* \(#,##0.0000\);_(* &quot;-&quot;??_);_(@_)"/>
    <numFmt numFmtId="173" formatCode="_(&quot;€&quot;\ * #,##0_);_(&quot;€&quot;\ * \(#,##0\);_(&quot;€&quot;\ * &quot;-&quot;??_);_(@_)"/>
    <numFmt numFmtId="174" formatCode="_ [$€-413]\ * #,##0_ ;_ [$€-413]\ * \-#,##0_ ;_ [$€-413]\ * &quot;-&quot;??_ ;_ @_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164" fontId="2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6" fontId="3" fillId="3" borderId="1" xfId="3" applyNumberFormat="1" applyFont="1" applyFill="1" applyBorder="1"/>
    <xf numFmtId="165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9" fontId="3" fillId="3" borderId="1" xfId="3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167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2" fontId="5" fillId="4" borderId="5" xfId="0" applyNumberFormat="1" applyFont="1" applyFill="1" applyBorder="1"/>
    <xf numFmtId="2" fontId="4" fillId="0" borderId="1" xfId="0" applyNumberFormat="1" applyFont="1" applyBorder="1"/>
    <xf numFmtId="166" fontId="6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6" fillId="0" borderId="1" xfId="0" applyNumberFormat="1" applyFont="1" applyBorder="1" applyAlignment="1">
      <alignment horizontal="center"/>
    </xf>
    <xf numFmtId="166" fontId="7" fillId="0" borderId="1" xfId="3" applyNumberFormat="1" applyFont="1" applyBorder="1"/>
    <xf numFmtId="2" fontId="5" fillId="5" borderId="5" xfId="0" applyNumberFormat="1" applyFont="1" applyFill="1" applyBorder="1"/>
    <xf numFmtId="168" fontId="4" fillId="0" borderId="1" xfId="1" applyNumberFormat="1" applyFont="1" applyBorder="1"/>
    <xf numFmtId="1" fontId="4" fillId="0" borderId="1" xfId="0" applyNumberFormat="1" applyFont="1" applyBorder="1"/>
    <xf numFmtId="2" fontId="5" fillId="4" borderId="1" xfId="0" applyNumberFormat="1" applyFont="1" applyFill="1" applyBorder="1"/>
    <xf numFmtId="0" fontId="7" fillId="0" borderId="1" xfId="3" applyNumberFormat="1" applyFont="1" applyBorder="1"/>
    <xf numFmtId="166" fontId="4" fillId="3" borderId="1" xfId="3" applyNumberFormat="1" applyFont="1" applyFill="1" applyBorder="1"/>
    <xf numFmtId="9" fontId="4" fillId="3" borderId="1" xfId="3" applyFont="1" applyFill="1" applyBorder="1" applyAlignment="1">
      <alignment horizontal="center"/>
    </xf>
    <xf numFmtId="2" fontId="4" fillId="4" borderId="1" xfId="0" applyNumberFormat="1" applyFont="1" applyFill="1" applyBorder="1"/>
    <xf numFmtId="43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43" fontId="4" fillId="4" borderId="1" xfId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5" fillId="4" borderId="1" xfId="0" applyNumberFormat="1" applyFont="1" applyFill="1" applyBorder="1"/>
    <xf numFmtId="1" fontId="4" fillId="0" borderId="1" xfId="0" applyNumberFormat="1" applyFont="1" applyBorder="1" applyAlignment="1">
      <alignment horizontal="right"/>
    </xf>
    <xf numFmtId="165" fontId="4" fillId="0" borderId="6" xfId="0" applyNumberFormat="1" applyFont="1" applyBorder="1"/>
    <xf numFmtId="0" fontId="4" fillId="0" borderId="6" xfId="0" applyFont="1" applyBorder="1"/>
    <xf numFmtId="167" fontId="4" fillId="0" borderId="6" xfId="0" applyNumberFormat="1" applyFont="1" applyBorder="1"/>
    <xf numFmtId="2" fontId="4" fillId="3" borderId="2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169" fontId="4" fillId="0" borderId="1" xfId="0" applyNumberFormat="1" applyFont="1" applyBorder="1"/>
    <xf numFmtId="2" fontId="4" fillId="6" borderId="1" xfId="0" applyNumberFormat="1" applyFont="1" applyFill="1" applyBorder="1" applyAlignment="1">
      <alignment horizontal="right"/>
    </xf>
    <xf numFmtId="1" fontId="4" fillId="6" borderId="1" xfId="0" applyNumberFormat="1" applyFont="1" applyFill="1" applyBorder="1" applyAlignment="1">
      <alignment horizontal="right"/>
    </xf>
    <xf numFmtId="43" fontId="3" fillId="0" borderId="1" xfId="0" applyNumberFormat="1" applyFont="1" applyBorder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14" fontId="5" fillId="0" borderId="1" xfId="0" applyNumberFormat="1" applyFont="1" applyBorder="1"/>
    <xf numFmtId="43" fontId="5" fillId="0" borderId="1" xfId="0" applyNumberFormat="1" applyFont="1" applyBorder="1"/>
    <xf numFmtId="171" fontId="4" fillId="0" borderId="1" xfId="0" applyNumberFormat="1" applyFont="1" applyBorder="1"/>
    <xf numFmtId="172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3" fontId="4" fillId="0" borderId="1" xfId="2" applyNumberFormat="1" applyFont="1" applyBorder="1"/>
    <xf numFmtId="167" fontId="4" fillId="6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7" xfId="0" applyFont="1" applyBorder="1"/>
    <xf numFmtId="167" fontId="3" fillId="0" borderId="1" xfId="0" applyNumberFormat="1" applyFont="1" applyBorder="1"/>
    <xf numFmtId="43" fontId="3" fillId="0" borderId="1" xfId="1" applyFont="1" applyBorder="1"/>
    <xf numFmtId="165" fontId="3" fillId="0" borderId="1" xfId="0" applyNumberFormat="1" applyFont="1" applyBorder="1"/>
    <xf numFmtId="2" fontId="9" fillId="0" borderId="5" xfId="0" applyNumberFormat="1" applyFont="1" applyBorder="1"/>
    <xf numFmtId="166" fontId="4" fillId="0" borderId="1" xfId="3" applyNumberFormat="1" applyFont="1" applyBorder="1"/>
    <xf numFmtId="2" fontId="5" fillId="0" borderId="5" xfId="0" applyNumberFormat="1" applyFont="1" applyBorder="1"/>
    <xf numFmtId="166" fontId="6" fillId="0" borderId="1" xfId="3" applyNumberFormat="1" applyFont="1" applyFill="1" applyBorder="1"/>
    <xf numFmtId="43" fontId="4" fillId="0" borderId="1" xfId="1" applyFont="1" applyFill="1" applyBorder="1" applyAlignment="1">
      <alignment horizontal="right"/>
    </xf>
    <xf numFmtId="2" fontId="5" fillId="0" borderId="1" xfId="0" applyNumberFormat="1" applyFont="1" applyBorder="1"/>
    <xf numFmtId="43" fontId="6" fillId="0" borderId="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7" fontId="4" fillId="4" borderId="1" xfId="0" applyNumberFormat="1" applyFont="1" applyFill="1" applyBorder="1"/>
    <xf numFmtId="43" fontId="4" fillId="0" borderId="1" xfId="1" applyFont="1" applyFill="1" applyBorder="1"/>
    <xf numFmtId="0" fontId="10" fillId="0" borderId="1" xfId="0" applyFont="1" applyBorder="1"/>
    <xf numFmtId="173" fontId="4" fillId="0" borderId="1" xfId="0" applyNumberFormat="1" applyFont="1" applyBorder="1"/>
    <xf numFmtId="0" fontId="3" fillId="0" borderId="1" xfId="0" applyFont="1" applyBorder="1" applyAlignment="1">
      <alignment horizontal="left"/>
    </xf>
    <xf numFmtId="174" fontId="3" fillId="0" borderId="1" xfId="0" applyNumberFormat="1" applyFont="1" applyBorder="1" applyAlignment="1">
      <alignment horizontal="left"/>
    </xf>
    <xf numFmtId="173" fontId="3" fillId="0" borderId="1" xfId="2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/>
    <xf numFmtId="174" fontId="3" fillId="0" borderId="1" xfId="3" applyNumberFormat="1" applyFont="1" applyBorder="1" applyAlignment="1">
      <alignment horizontal="right"/>
    </xf>
    <xf numFmtId="9" fontId="3" fillId="0" borderId="1" xfId="3" applyFont="1" applyBorder="1" applyAlignment="1">
      <alignment horizontal="right"/>
    </xf>
    <xf numFmtId="166" fontId="3" fillId="0" borderId="1" xfId="3" applyNumberFormat="1" applyFont="1" applyBorder="1"/>
    <xf numFmtId="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43" fontId="4" fillId="5" borderId="1" xfId="1" applyFont="1" applyFill="1" applyBorder="1" applyAlignment="1">
      <alignment horizontal="right"/>
    </xf>
    <xf numFmtId="171" fontId="4" fillId="0" borderId="1" xfId="1" applyNumberFormat="1" applyFont="1" applyFill="1" applyBorder="1"/>
    <xf numFmtId="171" fontId="4" fillId="0" borderId="1" xfId="1" applyNumberFormat="1" applyFont="1" applyFill="1" applyBorder="1" applyAlignment="1">
      <alignment horizontal="right"/>
    </xf>
    <xf numFmtId="167" fontId="6" fillId="0" borderId="1" xfId="0" applyNumberFormat="1" applyFont="1" applyBorder="1"/>
    <xf numFmtId="165" fontId="6" fillId="0" borderId="1" xfId="0" applyNumberFormat="1" applyFont="1" applyBorder="1"/>
    <xf numFmtId="43" fontId="6" fillId="0" borderId="1" xfId="1" applyFont="1" applyFill="1" applyBorder="1" applyAlignment="1">
      <alignment horizontal="right"/>
    </xf>
    <xf numFmtId="167" fontId="7" fillId="0" borderId="1" xfId="0" applyNumberFormat="1" applyFont="1" applyBorder="1"/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8d4e1cd3418f22/Documenten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Highscore List"/>
      <sheetName val="6B 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D3">
            <v>1.1717834544176235</v>
          </cell>
          <cell r="G3">
            <v>3.72</v>
          </cell>
          <cell r="J3">
            <v>1.2</v>
          </cell>
          <cell r="M3">
            <v>4.34</v>
          </cell>
          <cell r="P3">
            <v>0.49</v>
          </cell>
          <cell r="S3">
            <v>244.88</v>
          </cell>
          <cell r="W3">
            <v>0.53</v>
          </cell>
        </row>
        <row r="4">
          <cell r="D4">
            <v>1.4832393948383269</v>
          </cell>
          <cell r="G4">
            <v>5.12</v>
          </cell>
          <cell r="M4">
            <v>1.33</v>
          </cell>
          <cell r="P4">
            <v>2.86</v>
          </cell>
          <cell r="S4">
            <v>9.4</v>
          </cell>
        </row>
        <row r="5">
          <cell r="D5">
            <v>1.614465611882467</v>
          </cell>
          <cell r="G5">
            <v>48.46</v>
          </cell>
          <cell r="J5">
            <v>0.03</v>
          </cell>
          <cell r="M5">
            <v>2.97</v>
          </cell>
          <cell r="P5">
            <v>0.37</v>
          </cell>
          <cell r="W5">
            <v>1.085</v>
          </cell>
        </row>
        <row r="6">
          <cell r="D6">
            <v>0.85667780347811184</v>
          </cell>
          <cell r="G6">
            <v>33.44</v>
          </cell>
          <cell r="M6">
            <v>6.31</v>
          </cell>
          <cell r="S6">
            <v>11.79</v>
          </cell>
          <cell r="W6">
            <v>28.76</v>
          </cell>
        </row>
        <row r="7">
          <cell r="G7">
            <v>17.992000000000001</v>
          </cell>
          <cell r="J7">
            <v>5.92</v>
          </cell>
          <cell r="M7">
            <v>0.26500000000000001</v>
          </cell>
          <cell r="W7">
            <v>2658</v>
          </cell>
        </row>
        <row r="8">
          <cell r="J8">
            <v>39.29</v>
          </cell>
          <cell r="M8">
            <v>1.71</v>
          </cell>
          <cell r="S8">
            <v>131.49</v>
          </cell>
          <cell r="W8">
            <v>53.87</v>
          </cell>
        </row>
        <row r="9">
          <cell r="J9">
            <v>0.76</v>
          </cell>
          <cell r="M9">
            <v>0.84</v>
          </cell>
          <cell r="S9">
            <v>5.92</v>
          </cell>
          <cell r="W9">
            <v>3.45</v>
          </cell>
        </row>
        <row r="10">
          <cell r="J10">
            <v>3.09</v>
          </cell>
          <cell r="M10">
            <v>0.13</v>
          </cell>
          <cell r="S10">
            <v>6.84</v>
          </cell>
          <cell r="W10">
            <v>51.31</v>
          </cell>
        </row>
        <row r="11">
          <cell r="J11">
            <v>7.23</v>
          </cell>
          <cell r="S11">
            <v>6.18</v>
          </cell>
          <cell r="W11">
            <v>69.45</v>
          </cell>
        </row>
        <row r="12">
          <cell r="J12">
            <v>0.42499999999999999</v>
          </cell>
          <cell r="M12">
            <v>0.27500000000000002</v>
          </cell>
          <cell r="S12">
            <v>0.46</v>
          </cell>
          <cell r="W12">
            <v>15.34</v>
          </cell>
        </row>
        <row r="13">
          <cell r="J13">
            <v>7.78</v>
          </cell>
          <cell r="M13">
            <v>0.42</v>
          </cell>
          <cell r="W13">
            <v>0.45</v>
          </cell>
        </row>
        <row r="14">
          <cell r="J14">
            <v>14.69</v>
          </cell>
          <cell r="S14">
            <v>4.55</v>
          </cell>
        </row>
        <row r="15">
          <cell r="J15">
            <v>0.29499999999999998</v>
          </cell>
          <cell r="T15">
            <v>4.9112904182735093</v>
          </cell>
        </row>
        <row r="16">
          <cell r="J16">
            <v>5.41</v>
          </cell>
          <cell r="S16">
            <v>1.64</v>
          </cell>
        </row>
        <row r="17">
          <cell r="J17">
            <v>0.32500000000000001</v>
          </cell>
          <cell r="S17">
            <v>8.23</v>
          </cell>
        </row>
        <row r="18">
          <cell r="J18">
            <v>0.77</v>
          </cell>
          <cell r="S18">
            <v>2.93</v>
          </cell>
        </row>
        <row r="19">
          <cell r="J19">
            <v>4.22</v>
          </cell>
          <cell r="S19">
            <v>0.83</v>
          </cell>
        </row>
        <row r="20">
          <cell r="J20">
            <v>1.38</v>
          </cell>
          <cell r="S20">
            <v>0.255</v>
          </cell>
        </row>
        <row r="22">
          <cell r="J22">
            <v>2.19</v>
          </cell>
        </row>
        <row r="25">
          <cell r="J25">
            <v>3.07</v>
          </cell>
        </row>
        <row r="27">
          <cell r="J27">
            <v>0.5</v>
          </cell>
        </row>
        <row r="30">
          <cell r="J30">
            <v>0.36</v>
          </cell>
        </row>
        <row r="31">
          <cell r="J31">
            <v>0.64</v>
          </cell>
        </row>
        <row r="34">
          <cell r="J34">
            <v>0.65</v>
          </cell>
        </row>
        <row r="35">
          <cell r="J35">
            <v>2.25</v>
          </cell>
        </row>
        <row r="36">
          <cell r="J36">
            <v>5.5E-2</v>
          </cell>
        </row>
      </sheetData>
      <sheetData sheetId="1">
        <row r="2">
          <cell r="C2">
            <v>36290.100700000003</v>
          </cell>
        </row>
        <row r="3">
          <cell r="C3">
            <v>2495.7669999999998</v>
          </cell>
        </row>
        <row r="4">
          <cell r="C4">
            <v>131.25960000000001</v>
          </cell>
        </row>
        <row r="5">
          <cell r="C5">
            <v>440.24599999999998</v>
          </cell>
        </row>
        <row r="6">
          <cell r="C6">
            <v>2.012</v>
          </cell>
        </row>
        <row r="7">
          <cell r="C7">
            <v>16.924408</v>
          </cell>
        </row>
        <row r="8">
          <cell r="C8">
            <v>6.3714531384350819</v>
          </cell>
        </row>
        <row r="9">
          <cell r="C9">
            <v>6.1479999999999997</v>
          </cell>
        </row>
        <row r="10">
          <cell r="C10">
            <v>35.262252794496987</v>
          </cell>
        </row>
        <row r="11">
          <cell r="C11">
            <v>8.0414455999999994</v>
          </cell>
        </row>
        <row r="12">
          <cell r="C12">
            <v>3.4532976</v>
          </cell>
        </row>
        <row r="13">
          <cell r="C13">
            <v>0.59896818572656918</v>
          </cell>
        </row>
        <row r="14">
          <cell r="C14">
            <v>10.799656061908861</v>
          </cell>
        </row>
        <row r="15">
          <cell r="C15">
            <v>2.1662216000000001</v>
          </cell>
        </row>
        <row r="16">
          <cell r="C16">
            <v>39.270000000000003</v>
          </cell>
        </row>
        <row r="17">
          <cell r="C17">
            <v>120.74</v>
          </cell>
        </row>
        <row r="18">
          <cell r="C18">
            <v>1961.487532244196</v>
          </cell>
        </row>
        <row r="19">
          <cell r="C19">
            <v>0.58730000000000004</v>
          </cell>
        </row>
        <row r="20">
          <cell r="C20">
            <v>0.2407</v>
          </cell>
        </row>
        <row r="21">
          <cell r="C21">
            <v>1.51</v>
          </cell>
        </row>
        <row r="22">
          <cell r="C22">
            <v>291.49491999999998</v>
          </cell>
        </row>
        <row r="23">
          <cell r="C23">
            <v>19.82</v>
          </cell>
        </row>
        <row r="24">
          <cell r="C24">
            <v>35.450000000000003</v>
          </cell>
        </row>
        <row r="25">
          <cell r="C25">
            <v>141.40732</v>
          </cell>
        </row>
        <row r="26">
          <cell r="C26">
            <v>54.347959999999993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">
          <cell r="P3">
            <v>3.5300000000000002</v>
          </cell>
        </row>
        <row r="4">
          <cell r="P4">
            <v>0.42000000000000004</v>
          </cell>
        </row>
        <row r="5">
          <cell r="P5">
            <v>10.969999999999999</v>
          </cell>
        </row>
        <row r="7">
          <cell r="P7">
            <v>0.60000000000000009</v>
          </cell>
        </row>
        <row r="8">
          <cell r="P8">
            <v>0.39</v>
          </cell>
        </row>
        <row r="11">
          <cell r="P11">
            <v>3.48</v>
          </cell>
        </row>
        <row r="12">
          <cell r="P12">
            <v>1.6199999999999997</v>
          </cell>
        </row>
        <row r="13">
          <cell r="P13">
            <v>1.0999999999999999E-2</v>
          </cell>
        </row>
        <row r="14">
          <cell r="P14">
            <v>0.24</v>
          </cell>
        </row>
        <row r="22">
          <cell r="P22">
            <v>4.9000000000000009E-2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9BF44-45B2-1848-A5BD-B005602A703C}">
  <dimension ref="A1:P156"/>
  <sheetViews>
    <sheetView tabSelected="1" workbookViewId="0">
      <selection activeCell="Q10" sqref="Q10"/>
    </sheetView>
  </sheetViews>
  <sheetFormatPr baseColWidth="10" defaultRowHeight="16" x14ac:dyDescent="0.2"/>
  <cols>
    <col min="1" max="1" width="21.16406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3" width="6.33203125" bestFit="1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>
        <f ca="1">TODAY()</f>
        <v>44464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3"/>
      <c r="C2" s="3"/>
      <c r="D2" s="3"/>
      <c r="E2" s="3"/>
      <c r="F2" s="4"/>
      <c r="G2" s="5"/>
      <c r="H2" s="6"/>
      <c r="I2" s="6"/>
      <c r="J2" s="6"/>
      <c r="K2" s="7"/>
      <c r="L2" s="8" t="s">
        <v>1</v>
      </c>
      <c r="M2" s="9">
        <f>SUM(K4:K15)</f>
        <v>13146.962319999999</v>
      </c>
      <c r="N2" s="10"/>
      <c r="O2" s="11"/>
      <c r="P2" s="12">
        <f>M2/P140</f>
        <v>0.23151468391990784</v>
      </c>
    </row>
    <row r="3" spans="1:16" x14ac:dyDescent="0.2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5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6" t="s">
        <v>14</v>
      </c>
      <c r="N3" s="17" t="s">
        <v>15</v>
      </c>
      <c r="O3" s="18" t="s">
        <v>16</v>
      </c>
      <c r="P3" s="16" t="s">
        <v>17</v>
      </c>
    </row>
    <row r="4" spans="1:16" x14ac:dyDescent="0.2">
      <c r="A4" s="19" t="s">
        <v>18</v>
      </c>
      <c r="B4" s="19" t="s">
        <v>19</v>
      </c>
      <c r="C4" s="20">
        <v>44193</v>
      </c>
      <c r="D4" s="19">
        <v>100</v>
      </c>
      <c r="E4" s="21">
        <v>1.2213000000000001</v>
      </c>
      <c r="F4" s="22">
        <v>6.665</v>
      </c>
      <c r="G4" s="23">
        <f t="shared" ref="G4:G79" si="0">(F4*D4)/E4</f>
        <v>545.72995987881768</v>
      </c>
      <c r="H4" s="24">
        <f>'[1]auto data'!J7</f>
        <v>5.92</v>
      </c>
      <c r="I4" s="25">
        <v>0</v>
      </c>
      <c r="J4" s="21">
        <f>C135</f>
        <v>1.1717834544176235</v>
      </c>
      <c r="K4" s="23">
        <f t="shared" ref="K4:K15" si="1">((H4+I4)/J4)*D4</f>
        <v>505.21280000000007</v>
      </c>
      <c r="L4" s="26">
        <f t="shared" ref="L4:L15" si="2">(K4-G4)/G4</f>
        <v>-7.4243972033008171E-2</v>
      </c>
      <c r="M4" s="27">
        <f t="shared" ref="M4:M15" si="3">K4-G4</f>
        <v>-40.517159878817608</v>
      </c>
      <c r="N4" s="28">
        <v>8.4</v>
      </c>
      <c r="O4" s="29">
        <f>(N4+I4)*0.75</f>
        <v>6.3000000000000007</v>
      </c>
      <c r="P4" s="30">
        <f t="shared" ref="P4:P15" si="4">O4-F4</f>
        <v>-0.36499999999999932</v>
      </c>
    </row>
    <row r="5" spans="1:16" x14ac:dyDescent="0.2">
      <c r="A5" s="19" t="s">
        <v>20</v>
      </c>
      <c r="B5" s="19" t="s">
        <v>21</v>
      </c>
      <c r="C5" s="20">
        <v>44195</v>
      </c>
      <c r="D5" s="19">
        <v>30</v>
      </c>
      <c r="E5" s="21">
        <v>1.2286999999999999</v>
      </c>
      <c r="F5" s="22">
        <v>42.5</v>
      </c>
      <c r="G5" s="23">
        <f t="shared" si="0"/>
        <v>1037.6821030357289</v>
      </c>
      <c r="H5" s="24">
        <f>'[1]auto data'!J8</f>
        <v>39.29</v>
      </c>
      <c r="I5" s="25">
        <f>[1]Dividend!P4</f>
        <v>0.42000000000000004</v>
      </c>
      <c r="J5" s="21">
        <f>C135</f>
        <v>1.1717834544176235</v>
      </c>
      <c r="K5" s="23">
        <f t="shared" si="1"/>
        <v>1016.65542</v>
      </c>
      <c r="L5" s="26">
        <f t="shared" si="2"/>
        <v>-2.0263125840000042E-2</v>
      </c>
      <c r="M5" s="27">
        <f t="shared" si="3"/>
        <v>-21.026683035728865</v>
      </c>
      <c r="N5" s="28">
        <v>47.24</v>
      </c>
      <c r="O5" s="29">
        <f>(N5+I5)*0.75</f>
        <v>35.745000000000005</v>
      </c>
      <c r="P5" s="30">
        <f t="shared" si="4"/>
        <v>-6.7549999999999955</v>
      </c>
    </row>
    <row r="6" spans="1:16" x14ac:dyDescent="0.2">
      <c r="A6" s="19" t="s">
        <v>22</v>
      </c>
      <c r="B6" s="19" t="s">
        <v>23</v>
      </c>
      <c r="C6" s="20">
        <v>44204</v>
      </c>
      <c r="D6" s="19">
        <v>700</v>
      </c>
      <c r="E6" s="21">
        <v>1.52</v>
      </c>
      <c r="F6" s="22">
        <v>0.90200000000000002</v>
      </c>
      <c r="G6" s="23">
        <f t="shared" si="0"/>
        <v>415.39473684210526</v>
      </c>
      <c r="H6" s="24">
        <f>'[1]auto data'!J9</f>
        <v>0.76</v>
      </c>
      <c r="I6" s="25">
        <v>0</v>
      </c>
      <c r="J6" s="21">
        <f>C136</f>
        <v>1.4832393948383269</v>
      </c>
      <c r="K6" s="23">
        <f t="shared" si="1"/>
        <v>358.67439999999999</v>
      </c>
      <c r="L6" s="26">
        <f t="shared" si="2"/>
        <v>-0.13654563192904659</v>
      </c>
      <c r="M6" s="27">
        <f t="shared" si="3"/>
        <v>-56.720336842105269</v>
      </c>
      <c r="N6" s="28">
        <v>1.02</v>
      </c>
      <c r="O6" s="29">
        <f>(N6+I6)*0.66</f>
        <v>0.67320000000000002</v>
      </c>
      <c r="P6" s="30">
        <f t="shared" si="4"/>
        <v>-0.2288</v>
      </c>
    </row>
    <row r="7" spans="1:16" x14ac:dyDescent="0.2">
      <c r="A7" s="19" t="s">
        <v>24</v>
      </c>
      <c r="B7" s="19" t="s">
        <v>25</v>
      </c>
      <c r="C7" s="20">
        <v>44210</v>
      </c>
      <c r="D7" s="19">
        <v>200</v>
      </c>
      <c r="E7" s="21">
        <v>1.56</v>
      </c>
      <c r="F7" s="22">
        <v>2.52</v>
      </c>
      <c r="G7" s="23">
        <f t="shared" si="0"/>
        <v>323.07692307692304</v>
      </c>
      <c r="H7" s="24">
        <f>'[1]auto data'!J10</f>
        <v>3.09</v>
      </c>
      <c r="I7" s="25">
        <v>0</v>
      </c>
      <c r="J7" s="21">
        <f>C136</f>
        <v>1.4832393948383269</v>
      </c>
      <c r="K7" s="23">
        <f t="shared" si="1"/>
        <v>416.65559999999999</v>
      </c>
      <c r="L7" s="31">
        <f t="shared" si="2"/>
        <v>0.28964828571428586</v>
      </c>
      <c r="M7" s="27">
        <f t="shared" si="3"/>
        <v>93.578676923076955</v>
      </c>
      <c r="N7" s="28">
        <v>3.15</v>
      </c>
      <c r="O7" s="29">
        <f>(N7+I7)*0.66</f>
        <v>2.0790000000000002</v>
      </c>
      <c r="P7" s="30">
        <f t="shared" si="4"/>
        <v>-0.44099999999999984</v>
      </c>
    </row>
    <row r="8" spans="1:16" x14ac:dyDescent="0.2">
      <c r="A8" s="19" t="s">
        <v>26</v>
      </c>
      <c r="B8" s="19" t="s">
        <v>27</v>
      </c>
      <c r="C8" s="20">
        <v>44211</v>
      </c>
      <c r="D8" s="19">
        <v>50</v>
      </c>
      <c r="E8" s="21">
        <v>1.1935</v>
      </c>
      <c r="F8" s="22">
        <v>8.75</v>
      </c>
      <c r="G8" s="23">
        <f t="shared" si="0"/>
        <v>366.56891495601172</v>
      </c>
      <c r="H8" s="24">
        <f>'[1]auto data'!J11</f>
        <v>7.23</v>
      </c>
      <c r="I8" s="25">
        <v>0</v>
      </c>
      <c r="J8" s="21">
        <f>C135</f>
        <v>1.1717834544176235</v>
      </c>
      <c r="K8" s="23">
        <f t="shared" si="1"/>
        <v>308.50410000000005</v>
      </c>
      <c r="L8" s="26">
        <f t="shared" si="2"/>
        <v>-0.15840081519999985</v>
      </c>
      <c r="M8" s="27">
        <f t="shared" si="3"/>
        <v>-58.064814956011674</v>
      </c>
      <c r="N8" s="28">
        <v>10.15</v>
      </c>
      <c r="O8" s="29">
        <f>(N8+I8)*0.66</f>
        <v>6.6990000000000007</v>
      </c>
      <c r="P8" s="30">
        <f t="shared" si="4"/>
        <v>-2.0509999999999993</v>
      </c>
    </row>
    <row r="9" spans="1:16" x14ac:dyDescent="0.2">
      <c r="A9" s="19" t="s">
        <v>28</v>
      </c>
      <c r="B9" s="19" t="s">
        <v>29</v>
      </c>
      <c r="C9" s="20">
        <v>44250</v>
      </c>
      <c r="D9" s="19">
        <v>750</v>
      </c>
      <c r="E9" s="21">
        <v>1.1871</v>
      </c>
      <c r="F9" s="22">
        <v>8.9</v>
      </c>
      <c r="G9" s="23">
        <f t="shared" si="0"/>
        <v>5622.9466767753347</v>
      </c>
      <c r="H9" s="24">
        <f>'[1]auto data'!J13</f>
        <v>7.78</v>
      </c>
      <c r="I9" s="25">
        <v>0</v>
      </c>
      <c r="J9" s="21">
        <f>C135</f>
        <v>1.1717834544176235</v>
      </c>
      <c r="K9" s="23">
        <f t="shared" si="1"/>
        <v>4979.5889999999999</v>
      </c>
      <c r="L9" s="26">
        <f t="shared" si="2"/>
        <v>-0.11441646413483145</v>
      </c>
      <c r="M9" s="27">
        <f t="shared" si="3"/>
        <v>-643.35767677533477</v>
      </c>
      <c r="N9" s="28">
        <v>10.07</v>
      </c>
      <c r="O9" s="29">
        <f>(N9+I9)*0.75</f>
        <v>7.5525000000000002</v>
      </c>
      <c r="P9" s="30">
        <f t="shared" si="4"/>
        <v>-1.3475000000000001</v>
      </c>
    </row>
    <row r="10" spans="1:16" x14ac:dyDescent="0.2">
      <c r="A10" s="19" t="s">
        <v>30</v>
      </c>
      <c r="B10" s="19" t="s">
        <v>31</v>
      </c>
      <c r="C10" s="20">
        <v>44295</v>
      </c>
      <c r="D10" s="19">
        <v>200</v>
      </c>
      <c r="E10" s="21">
        <v>1.1847000000000001</v>
      </c>
      <c r="F10" s="22">
        <v>18.54</v>
      </c>
      <c r="G10" s="23">
        <f t="shared" si="0"/>
        <v>3129.9063053937703</v>
      </c>
      <c r="H10" s="24">
        <f>'[1]auto data'!J14</f>
        <v>14.69</v>
      </c>
      <c r="I10" s="25">
        <v>0</v>
      </c>
      <c r="J10" s="21">
        <f>C135</f>
        <v>1.1717834544176235</v>
      </c>
      <c r="K10" s="23">
        <f t="shared" si="1"/>
        <v>2507.2892000000002</v>
      </c>
      <c r="L10" s="26">
        <f t="shared" si="2"/>
        <v>-0.19892515770226524</v>
      </c>
      <c r="M10" s="27">
        <f t="shared" si="3"/>
        <v>-622.61710539377009</v>
      </c>
      <c r="N10" s="28">
        <v>20.2</v>
      </c>
      <c r="O10" s="29">
        <f>(N10+I10)*0.75</f>
        <v>15.149999999999999</v>
      </c>
      <c r="P10" s="30">
        <f t="shared" si="4"/>
        <v>-3.3900000000000006</v>
      </c>
    </row>
    <row r="11" spans="1:16" x14ac:dyDescent="0.2">
      <c r="A11" s="19" t="s">
        <v>32</v>
      </c>
      <c r="B11" s="19" t="s">
        <v>33</v>
      </c>
      <c r="C11" s="20">
        <v>44313</v>
      </c>
      <c r="D11" s="19">
        <v>1000</v>
      </c>
      <c r="E11" s="21">
        <v>1.4993000000000001</v>
      </c>
      <c r="F11" s="22">
        <v>0.41</v>
      </c>
      <c r="G11" s="23">
        <f t="shared" si="0"/>
        <v>273.46094844260654</v>
      </c>
      <c r="H11" s="24">
        <f>'[1]auto data'!J15</f>
        <v>0.29499999999999998</v>
      </c>
      <c r="I11" s="25">
        <v>0</v>
      </c>
      <c r="J11" s="21">
        <f>C136</f>
        <v>1.4832393948383269</v>
      </c>
      <c r="K11" s="23">
        <f t="shared" si="1"/>
        <v>198.88899999999998</v>
      </c>
      <c r="L11" s="26">
        <f t="shared" si="2"/>
        <v>-0.27269688365853662</v>
      </c>
      <c r="M11" s="27">
        <f t="shared" si="3"/>
        <v>-74.571948442606555</v>
      </c>
      <c r="N11" s="28">
        <v>0.44</v>
      </c>
      <c r="O11" s="29">
        <f>(N11+I11)*0.66</f>
        <v>0.29039999999999999</v>
      </c>
      <c r="P11" s="30">
        <f t="shared" si="4"/>
        <v>-0.11959999999999998</v>
      </c>
    </row>
    <row r="12" spans="1:16" x14ac:dyDescent="0.2">
      <c r="A12" s="19" t="s">
        <v>34</v>
      </c>
      <c r="B12" s="19" t="s">
        <v>35</v>
      </c>
      <c r="C12" s="20">
        <v>44341</v>
      </c>
      <c r="D12" s="19">
        <v>200</v>
      </c>
      <c r="E12" s="21">
        <v>1.2256</v>
      </c>
      <c r="F12" s="22">
        <v>5.0999999999999996</v>
      </c>
      <c r="G12" s="23">
        <f t="shared" si="0"/>
        <v>832.24543080939941</v>
      </c>
      <c r="H12" s="24">
        <f>'[1]auto data'!J16</f>
        <v>5.41</v>
      </c>
      <c r="I12" s="25">
        <v>0</v>
      </c>
      <c r="J12" s="21">
        <f>C135</f>
        <v>1.1717834544176235</v>
      </c>
      <c r="K12" s="23">
        <f>((H12+I12)/J12)*D12+349</f>
        <v>1272.3788</v>
      </c>
      <c r="L12" s="31">
        <f t="shared" si="2"/>
        <v>0.52885044831372552</v>
      </c>
      <c r="M12" s="27">
        <f t="shared" si="3"/>
        <v>440.13336919060055</v>
      </c>
      <c r="N12" s="28">
        <v>4.9800000000000004</v>
      </c>
      <c r="O12" s="29">
        <f>(N12+I12)*0.66</f>
        <v>3.2868000000000004</v>
      </c>
      <c r="P12" s="30">
        <f t="shared" si="4"/>
        <v>-1.8131999999999993</v>
      </c>
    </row>
    <row r="13" spans="1:16" x14ac:dyDescent="0.2">
      <c r="A13" s="19" t="s">
        <v>36</v>
      </c>
      <c r="B13" s="19" t="s">
        <v>37</v>
      </c>
      <c r="C13" s="20">
        <v>44368</v>
      </c>
      <c r="D13" s="19">
        <v>100</v>
      </c>
      <c r="E13" s="21">
        <v>1.1916</v>
      </c>
      <c r="F13" s="22">
        <v>9.25</v>
      </c>
      <c r="G13" s="23">
        <f t="shared" si="0"/>
        <v>776.2672037596509</v>
      </c>
      <c r="H13" s="24">
        <f>H82</f>
        <v>6.84</v>
      </c>
      <c r="I13" s="25">
        <v>0</v>
      </c>
      <c r="J13" s="21">
        <f>C135</f>
        <v>1.1717834544176235</v>
      </c>
      <c r="K13" s="23">
        <f t="shared" si="1"/>
        <v>583.72559999999999</v>
      </c>
      <c r="L13" s="26">
        <f t="shared" si="2"/>
        <v>-0.24803521625945948</v>
      </c>
      <c r="M13" s="27">
        <f t="shared" si="3"/>
        <v>-192.54160375965091</v>
      </c>
      <c r="N13" s="28">
        <v>9.7100000000000009</v>
      </c>
      <c r="O13" s="29">
        <f>(N13+I13)*0.66</f>
        <v>6.4086000000000007</v>
      </c>
      <c r="P13" s="30">
        <f t="shared" si="4"/>
        <v>-2.8413999999999993</v>
      </c>
    </row>
    <row r="14" spans="1:16" x14ac:dyDescent="0.2">
      <c r="A14" s="19" t="s">
        <v>38</v>
      </c>
      <c r="B14" s="19" t="s">
        <v>39</v>
      </c>
      <c r="C14" s="20">
        <v>44388</v>
      </c>
      <c r="D14" s="19">
        <v>200</v>
      </c>
      <c r="E14" s="21">
        <v>1.18</v>
      </c>
      <c r="F14" s="22">
        <v>5.29</v>
      </c>
      <c r="G14" s="23">
        <f>(F14*D14)/E14</f>
        <v>896.61016949152543</v>
      </c>
      <c r="H14" s="24">
        <f>'[1]auto data'!J19</f>
        <v>4.22</v>
      </c>
      <c r="I14" s="25">
        <v>0</v>
      </c>
      <c r="J14" s="21">
        <f>C135</f>
        <v>1.1717834544176235</v>
      </c>
      <c r="K14" s="23">
        <f t="shared" si="1"/>
        <v>720.26960000000008</v>
      </c>
      <c r="L14" s="26">
        <f t="shared" si="2"/>
        <v>-0.19667473724007553</v>
      </c>
      <c r="M14" s="27">
        <f t="shared" si="3"/>
        <v>-176.34056949152534</v>
      </c>
      <c r="N14" s="28">
        <v>5.58</v>
      </c>
      <c r="O14" s="29">
        <f>(N14+I14)*0.66</f>
        <v>3.6828000000000003</v>
      </c>
      <c r="P14" s="30">
        <f t="shared" si="4"/>
        <v>-1.6071999999999997</v>
      </c>
    </row>
    <row r="15" spans="1:16" x14ac:dyDescent="0.2">
      <c r="A15" s="19" t="s">
        <v>40</v>
      </c>
      <c r="B15" s="19" t="s">
        <v>41</v>
      </c>
      <c r="C15" s="20">
        <v>44433</v>
      </c>
      <c r="D15" s="19">
        <v>300</v>
      </c>
      <c r="E15" s="21">
        <v>1.4830000000000001</v>
      </c>
      <c r="F15" s="22">
        <v>1.27</v>
      </c>
      <c r="G15" s="23">
        <f>(F15*D15)/E15</f>
        <v>256.91166554281858</v>
      </c>
      <c r="H15" s="24">
        <f>'[1]auto data'!J20</f>
        <v>1.38</v>
      </c>
      <c r="I15" s="25">
        <v>0</v>
      </c>
      <c r="J15" s="21">
        <f>C136</f>
        <v>1.4832393948383269</v>
      </c>
      <c r="K15" s="23">
        <f t="shared" si="1"/>
        <v>279.11879999999996</v>
      </c>
      <c r="L15" s="31">
        <f t="shared" si="2"/>
        <v>8.6438793700787386E-2</v>
      </c>
      <c r="M15" s="27">
        <f t="shared" si="3"/>
        <v>22.207134457181382</v>
      </c>
      <c r="N15" s="28">
        <v>1.27</v>
      </c>
      <c r="O15" s="29">
        <f>(N15+I15)*0.66</f>
        <v>0.83820000000000006</v>
      </c>
      <c r="P15" s="30">
        <f t="shared" si="4"/>
        <v>-0.43179999999999996</v>
      </c>
    </row>
    <row r="16" spans="1:16" x14ac:dyDescent="0.2">
      <c r="A16" s="2" t="s">
        <v>42</v>
      </c>
      <c r="B16" s="3"/>
      <c r="C16" s="3"/>
      <c r="D16" s="3"/>
      <c r="E16" s="3"/>
      <c r="F16" s="4"/>
      <c r="G16" s="5"/>
      <c r="H16" s="6"/>
      <c r="I16" s="6"/>
      <c r="J16" s="6"/>
      <c r="K16" s="7"/>
      <c r="L16" s="8" t="s">
        <v>1</v>
      </c>
      <c r="M16" s="9">
        <f>SUM(K18:K31)</f>
        <v>3094.4566440000003</v>
      </c>
      <c r="N16" s="10"/>
      <c r="O16" s="11"/>
      <c r="P16" s="12">
        <f>M16/P140</f>
        <v>5.4492599461524807E-2</v>
      </c>
    </row>
    <row r="17" spans="1:16" x14ac:dyDescent="0.2">
      <c r="A17" s="13" t="s">
        <v>2</v>
      </c>
      <c r="B17" s="13" t="s">
        <v>3</v>
      </c>
      <c r="C17" s="14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5" t="s">
        <v>9</v>
      </c>
      <c r="I17" s="13" t="s">
        <v>10</v>
      </c>
      <c r="J17" s="13" t="s">
        <v>11</v>
      </c>
      <c r="K17" s="13" t="s">
        <v>12</v>
      </c>
      <c r="L17" s="13" t="s">
        <v>13</v>
      </c>
      <c r="M17" s="16" t="s">
        <v>14</v>
      </c>
      <c r="N17" s="17" t="s">
        <v>15</v>
      </c>
      <c r="O17" s="18" t="s">
        <v>16</v>
      </c>
      <c r="P17" s="16" t="s">
        <v>17</v>
      </c>
    </row>
    <row r="18" spans="1:16" x14ac:dyDescent="0.2">
      <c r="A18" s="19" t="s">
        <v>43</v>
      </c>
      <c r="B18" s="19" t="s">
        <v>44</v>
      </c>
      <c r="C18" s="20">
        <v>44054</v>
      </c>
      <c r="D18" s="19">
        <v>200</v>
      </c>
      <c r="E18" s="21">
        <v>1.58</v>
      </c>
      <c r="F18" s="22">
        <v>3.13</v>
      </c>
      <c r="G18" s="23">
        <f t="shared" si="0"/>
        <v>396.20253164556959</v>
      </c>
      <c r="H18" s="24">
        <f>'[1]auto data'!J22</f>
        <v>2.19</v>
      </c>
      <c r="I18" s="19">
        <v>0</v>
      </c>
      <c r="J18" s="21">
        <f>C136</f>
        <v>1.4832393948383269</v>
      </c>
      <c r="K18" s="23">
        <f t="shared" ref="K18:K25" si="5">((H18+I18)/J18)*D18</f>
        <v>295.2996</v>
      </c>
      <c r="L18" s="26">
        <f t="shared" ref="L18:L24" si="6">(K18-G18)/G18</f>
        <v>-0.25467513099041528</v>
      </c>
      <c r="M18" s="27">
        <f t="shared" ref="M18:M38" si="7">K18-G18</f>
        <v>-100.90293164556959</v>
      </c>
      <c r="N18" s="28">
        <v>3.65</v>
      </c>
      <c r="O18" s="29">
        <f t="shared" ref="O18:O22" si="8">(N18+I18)*0.5</f>
        <v>1.825</v>
      </c>
      <c r="P18" s="30">
        <f t="shared" ref="P18:P25" si="9">O18-F18</f>
        <v>-1.3049999999999999</v>
      </c>
    </row>
    <row r="19" spans="1:16" x14ac:dyDescent="0.2">
      <c r="A19" s="19" t="s">
        <v>45</v>
      </c>
      <c r="B19" s="19" t="s">
        <v>46</v>
      </c>
      <c r="C19" s="20">
        <v>44054</v>
      </c>
      <c r="D19" s="19">
        <v>100</v>
      </c>
      <c r="E19" s="21">
        <v>1.58</v>
      </c>
      <c r="F19" s="22">
        <v>3.64</v>
      </c>
      <c r="G19" s="23">
        <f t="shared" si="0"/>
        <v>230.37974683544303</v>
      </c>
      <c r="H19" s="24">
        <f>'[1]auto data'!J25</f>
        <v>3.07</v>
      </c>
      <c r="I19" s="19">
        <v>0</v>
      </c>
      <c r="J19" s="21">
        <f>C136</f>
        <v>1.4832393948383269</v>
      </c>
      <c r="K19" s="23">
        <f t="shared" si="5"/>
        <v>206.9794</v>
      </c>
      <c r="L19" s="26">
        <f t="shared" si="6"/>
        <v>-0.10157293406593404</v>
      </c>
      <c r="M19" s="27">
        <f t="shared" si="7"/>
        <v>-23.400346835443031</v>
      </c>
      <c r="N19" s="28">
        <v>4.3099999999999996</v>
      </c>
      <c r="O19" s="29">
        <f t="shared" si="8"/>
        <v>2.1549999999999998</v>
      </c>
      <c r="P19" s="30">
        <f t="shared" si="9"/>
        <v>-1.4850000000000003</v>
      </c>
    </row>
    <row r="20" spans="1:16" x14ac:dyDescent="0.2">
      <c r="A20" s="19" t="s">
        <v>47</v>
      </c>
      <c r="B20" s="19" t="s">
        <v>48</v>
      </c>
      <c r="C20" s="20">
        <v>44096</v>
      </c>
      <c r="D20" s="19">
        <v>500</v>
      </c>
      <c r="E20" s="21">
        <v>1.56</v>
      </c>
      <c r="F20" s="22">
        <v>0.6</v>
      </c>
      <c r="G20" s="23">
        <f t="shared" si="0"/>
        <v>192.30769230769229</v>
      </c>
      <c r="H20" s="24">
        <f>'[1]auto data'!J27</f>
        <v>0.5</v>
      </c>
      <c r="I20" s="19">
        <v>0</v>
      </c>
      <c r="J20" s="21">
        <f>C136</f>
        <v>1.4832393948383269</v>
      </c>
      <c r="K20" s="23">
        <f t="shared" si="5"/>
        <v>168.55</v>
      </c>
      <c r="L20" s="26">
        <f t="shared" si="6"/>
        <v>-0.12353999999999987</v>
      </c>
      <c r="M20" s="27">
        <f t="shared" si="7"/>
        <v>-23.757692307692281</v>
      </c>
      <c r="N20" s="28">
        <v>0.7</v>
      </c>
      <c r="O20" s="29">
        <f t="shared" si="8"/>
        <v>0.35</v>
      </c>
      <c r="P20" s="30">
        <f t="shared" si="9"/>
        <v>-0.25</v>
      </c>
    </row>
    <row r="21" spans="1:16" x14ac:dyDescent="0.2">
      <c r="A21" s="19" t="s">
        <v>49</v>
      </c>
      <c r="B21" s="19" t="s">
        <v>50</v>
      </c>
      <c r="C21" s="20">
        <v>44158</v>
      </c>
      <c r="D21" s="19">
        <v>250</v>
      </c>
      <c r="E21" s="21">
        <v>1.55</v>
      </c>
      <c r="F21" s="22">
        <v>1.32</v>
      </c>
      <c r="G21" s="23">
        <f t="shared" si="0"/>
        <v>212.90322580645162</v>
      </c>
      <c r="H21" s="24">
        <f>'[1]auto data'!J30</f>
        <v>0.36</v>
      </c>
      <c r="I21" s="19">
        <v>0</v>
      </c>
      <c r="J21" s="21">
        <f>C136</f>
        <v>1.4832393948383269</v>
      </c>
      <c r="K21" s="23">
        <f t="shared" si="5"/>
        <v>60.677999999999997</v>
      </c>
      <c r="L21" s="26">
        <f t="shared" si="6"/>
        <v>-0.71499727272727276</v>
      </c>
      <c r="M21" s="27">
        <f t="shared" si="7"/>
        <v>-152.22522580645162</v>
      </c>
      <c r="N21" s="28">
        <v>1.78</v>
      </c>
      <c r="O21" s="29">
        <f t="shared" si="8"/>
        <v>0.89</v>
      </c>
      <c r="P21" s="30">
        <f t="shared" si="9"/>
        <v>-0.43000000000000005</v>
      </c>
    </row>
    <row r="22" spans="1:16" x14ac:dyDescent="0.2">
      <c r="A22" s="19" t="s">
        <v>51</v>
      </c>
      <c r="B22" s="19" t="s">
        <v>52</v>
      </c>
      <c r="C22" s="20">
        <v>44159</v>
      </c>
      <c r="D22" s="19">
        <v>300</v>
      </c>
      <c r="E22" s="21">
        <v>1.55</v>
      </c>
      <c r="F22" s="22">
        <v>1.19</v>
      </c>
      <c r="G22" s="23">
        <f t="shared" si="0"/>
        <v>230.32258064516128</v>
      </c>
      <c r="H22" s="24">
        <f>'[1]auto data'!J31</f>
        <v>0.64</v>
      </c>
      <c r="I22" s="19">
        <v>0</v>
      </c>
      <c r="J22" s="21">
        <f>C136</f>
        <v>1.4832393948383269</v>
      </c>
      <c r="K22" s="23">
        <f t="shared" si="5"/>
        <v>129.44640000000001</v>
      </c>
      <c r="L22" s="26">
        <f t="shared" si="6"/>
        <v>-0.43797781512605033</v>
      </c>
      <c r="M22" s="27">
        <f t="shared" si="7"/>
        <v>-100.87618064516127</v>
      </c>
      <c r="N22" s="28">
        <v>1.25</v>
      </c>
      <c r="O22" s="29">
        <f t="shared" si="8"/>
        <v>0.625</v>
      </c>
      <c r="P22" s="30">
        <f t="shared" si="9"/>
        <v>-0.56499999999999995</v>
      </c>
    </row>
    <row r="23" spans="1:16" x14ac:dyDescent="0.2">
      <c r="A23" s="19" t="s">
        <v>53</v>
      </c>
      <c r="B23" s="19" t="s">
        <v>54</v>
      </c>
      <c r="C23" s="20">
        <v>44203</v>
      </c>
      <c r="D23" s="19">
        <v>600</v>
      </c>
      <c r="E23" s="21">
        <v>1.52</v>
      </c>
      <c r="F23" s="22">
        <v>0.94</v>
      </c>
      <c r="G23" s="23">
        <f t="shared" si="0"/>
        <v>371.05263157894734</v>
      </c>
      <c r="H23" s="24">
        <f>'[1]auto data'!J34</f>
        <v>0.65</v>
      </c>
      <c r="I23" s="19">
        <v>0</v>
      </c>
      <c r="J23" s="21">
        <f>C136</f>
        <v>1.4832393948383269</v>
      </c>
      <c r="K23" s="23">
        <f t="shared" si="5"/>
        <v>262.93799999999999</v>
      </c>
      <c r="L23" s="26">
        <f t="shared" si="6"/>
        <v>-0.29137276595744677</v>
      </c>
      <c r="M23" s="27">
        <f>K23-G23</f>
        <v>-108.11463157894735</v>
      </c>
      <c r="N23" s="28">
        <v>0.94</v>
      </c>
      <c r="O23" s="29">
        <f>(N23+I23)*0.5</f>
        <v>0.47</v>
      </c>
      <c r="P23" s="30">
        <f t="shared" si="9"/>
        <v>-0.47</v>
      </c>
    </row>
    <row r="24" spans="1:16" x14ac:dyDescent="0.2">
      <c r="A24" s="19" t="s">
        <v>55</v>
      </c>
      <c r="B24" s="19" t="s">
        <v>56</v>
      </c>
      <c r="C24" s="20">
        <v>44216</v>
      </c>
      <c r="D24" s="19">
        <v>300</v>
      </c>
      <c r="E24" s="21">
        <v>1.55</v>
      </c>
      <c r="F24" s="22">
        <v>1.59</v>
      </c>
      <c r="G24" s="23">
        <f t="shared" si="0"/>
        <v>307.74193548387098</v>
      </c>
      <c r="H24" s="24">
        <f>'[1]auto data'!J35</f>
        <v>2.25</v>
      </c>
      <c r="I24" s="19">
        <v>0</v>
      </c>
      <c r="J24" s="21">
        <f>C136</f>
        <v>1.4832393948383269</v>
      </c>
      <c r="K24" s="23">
        <f t="shared" si="5"/>
        <v>455.08499999999998</v>
      </c>
      <c r="L24" s="31">
        <f t="shared" si="6"/>
        <v>0.47878773584905648</v>
      </c>
      <c r="M24" s="27">
        <f>K24-G24</f>
        <v>147.343064516129</v>
      </c>
      <c r="N24" s="28">
        <v>2.73</v>
      </c>
      <c r="O24" s="29">
        <f>(N24+I24)*0.5</f>
        <v>1.365</v>
      </c>
      <c r="P24" s="30">
        <f t="shared" si="9"/>
        <v>-0.22500000000000009</v>
      </c>
    </row>
    <row r="25" spans="1:16" x14ac:dyDescent="0.2">
      <c r="A25" s="19" t="s">
        <v>57</v>
      </c>
      <c r="B25" s="19" t="s">
        <v>58</v>
      </c>
      <c r="C25" s="20">
        <v>44218</v>
      </c>
      <c r="D25" s="19">
        <v>100</v>
      </c>
      <c r="E25" s="21">
        <v>1.4947999999999999</v>
      </c>
      <c r="F25" s="22">
        <v>0.09</v>
      </c>
      <c r="G25" s="23">
        <v>0</v>
      </c>
      <c r="H25" s="32">
        <v>0.31</v>
      </c>
      <c r="I25" s="19">
        <v>0</v>
      </c>
      <c r="J25" s="21">
        <f>C136</f>
        <v>1.4832393948383269</v>
      </c>
      <c r="K25" s="23">
        <f t="shared" si="5"/>
        <v>20.900199999999998</v>
      </c>
      <c r="L25" s="31" t="s">
        <v>59</v>
      </c>
      <c r="M25" s="27">
        <f>K25-G25</f>
        <v>20.900199999999998</v>
      </c>
      <c r="N25" s="28">
        <v>0.15</v>
      </c>
      <c r="O25" s="29">
        <f>(N25+I25)*0.5</f>
        <v>7.4999999999999997E-2</v>
      </c>
      <c r="P25" s="30">
        <f t="shared" si="9"/>
        <v>-1.4999999999999999E-2</v>
      </c>
    </row>
    <row r="26" spans="1:16" x14ac:dyDescent="0.2">
      <c r="A26" s="19" t="s">
        <v>60</v>
      </c>
      <c r="B26" s="19" t="s">
        <v>61</v>
      </c>
      <c r="C26" s="20">
        <v>43881</v>
      </c>
      <c r="D26" s="19">
        <v>6400</v>
      </c>
      <c r="E26" s="21">
        <v>1.43</v>
      </c>
      <c r="F26" s="33">
        <v>4.4999999999999998E-2</v>
      </c>
      <c r="G26" s="23">
        <f t="shared" ref="G26:G29" si="10">(F26*D26)/E26</f>
        <v>201.39860139860141</v>
      </c>
      <c r="H26" s="24">
        <f>'[1]auto data'!J5</f>
        <v>0.03</v>
      </c>
      <c r="I26" s="19">
        <v>0</v>
      </c>
      <c r="J26" s="21">
        <f>C136</f>
        <v>1.4832393948383269</v>
      </c>
      <c r="K26" s="23">
        <f>((H26+I26)/J26)*D26</f>
        <v>129.44640000000001</v>
      </c>
      <c r="L26" s="26">
        <f>(K26-G26)/G26</f>
        <v>-0.35726266666666667</v>
      </c>
      <c r="M26" s="27">
        <f t="shared" ref="M26:M31" si="11">K26-G26</f>
        <v>-71.952201398601403</v>
      </c>
      <c r="N26" s="28">
        <v>0.05</v>
      </c>
      <c r="O26" s="29">
        <f>(N26+I26)*0.33</f>
        <v>1.6500000000000001E-2</v>
      </c>
      <c r="P26" s="30">
        <f>O26-F26</f>
        <v>-2.8499999999999998E-2</v>
      </c>
    </row>
    <row r="27" spans="1:16" x14ac:dyDescent="0.2">
      <c r="A27" s="19" t="s">
        <v>62</v>
      </c>
      <c r="B27" s="19" t="s">
        <v>63</v>
      </c>
      <c r="C27" s="20">
        <v>43837</v>
      </c>
      <c r="D27" s="19">
        <v>720</v>
      </c>
      <c r="E27" s="21">
        <v>1.45</v>
      </c>
      <c r="F27" s="22">
        <v>0.81</v>
      </c>
      <c r="G27" s="23">
        <f t="shared" si="10"/>
        <v>402.20689655172418</v>
      </c>
      <c r="H27" s="24">
        <f>'[1]auto data'!J3</f>
        <v>1.2</v>
      </c>
      <c r="I27" s="19">
        <v>0</v>
      </c>
      <c r="J27" s="21">
        <f>C136</f>
        <v>1.4832393948383269</v>
      </c>
      <c r="K27" s="23">
        <f>((H27+I27)/J27)*D27</f>
        <v>582.50879999999995</v>
      </c>
      <c r="L27" s="31">
        <f>(K27-G27)/G27</f>
        <v>0.44828148148148117</v>
      </c>
      <c r="M27" s="27">
        <f t="shared" si="11"/>
        <v>180.30190344827577</v>
      </c>
      <c r="N27" s="28">
        <v>1.55</v>
      </c>
      <c r="O27" s="29">
        <f>(N27+I27)*0.33</f>
        <v>0.51150000000000007</v>
      </c>
      <c r="P27" s="30">
        <f>O27-F27</f>
        <v>-0.29849999999999999</v>
      </c>
    </row>
    <row r="28" spans="1:16" x14ac:dyDescent="0.2">
      <c r="A28" s="19" t="s">
        <v>64</v>
      </c>
      <c r="B28" s="19" t="s">
        <v>65</v>
      </c>
      <c r="C28" s="20">
        <v>44246</v>
      </c>
      <c r="D28" s="19">
        <v>1200</v>
      </c>
      <c r="E28" s="21">
        <v>1.51</v>
      </c>
      <c r="F28" s="22">
        <v>0.63</v>
      </c>
      <c r="G28" s="23">
        <f t="shared" si="10"/>
        <v>500.66225165562912</v>
      </c>
      <c r="H28" s="24">
        <f>'[1]auto data'!J12</f>
        <v>0.42499999999999999</v>
      </c>
      <c r="I28" s="34">
        <v>0</v>
      </c>
      <c r="J28" s="21">
        <f>C136</f>
        <v>1.4832393948383269</v>
      </c>
      <c r="K28" s="23">
        <f t="shared" ref="K28:K30" si="12">((H28+I28)/J28)*D28</f>
        <v>343.84199999999998</v>
      </c>
      <c r="L28" s="26">
        <f t="shared" ref="L28" si="13">(K28-G28)/G28</f>
        <v>-0.31322563492063493</v>
      </c>
      <c r="M28" s="27">
        <f t="shared" si="11"/>
        <v>-156.82025165562914</v>
      </c>
      <c r="N28" s="28">
        <v>0.51</v>
      </c>
      <c r="O28" s="29">
        <f>(N28+I28)*0.66</f>
        <v>0.33660000000000001</v>
      </c>
      <c r="P28" s="30">
        <f t="shared" ref="P28:P30" si="14">O28-F28</f>
        <v>-0.29339999999999999</v>
      </c>
    </row>
    <row r="29" spans="1:16" x14ac:dyDescent="0.2">
      <c r="A29" s="19" t="s">
        <v>66</v>
      </c>
      <c r="B29" s="19" t="s">
        <v>67</v>
      </c>
      <c r="C29" s="20">
        <v>44376</v>
      </c>
      <c r="D29" s="19">
        <v>1000</v>
      </c>
      <c r="E29" s="21">
        <v>1.4742999999999999</v>
      </c>
      <c r="F29" s="22">
        <v>0.435</v>
      </c>
      <c r="G29" s="23">
        <f t="shared" si="10"/>
        <v>295.05528047208844</v>
      </c>
      <c r="H29" s="35">
        <f>'[1]auto data'!J17</f>
        <v>0.32500000000000001</v>
      </c>
      <c r="I29" s="34">
        <v>0</v>
      </c>
      <c r="J29" s="21">
        <f>C136</f>
        <v>1.4832393948383269</v>
      </c>
      <c r="K29" s="23">
        <f t="shared" si="12"/>
        <v>219.11500000000001</v>
      </c>
      <c r="L29" s="26">
        <f>(K29-G29)/G29</f>
        <v>-0.25737644942528731</v>
      </c>
      <c r="M29" s="27">
        <f t="shared" si="11"/>
        <v>-75.940280472088432</v>
      </c>
      <c r="N29" s="28">
        <v>0.44</v>
      </c>
      <c r="O29" s="29">
        <f>(N29+I29)*0.5</f>
        <v>0.22</v>
      </c>
      <c r="P29" s="30">
        <f t="shared" si="14"/>
        <v>-0.215</v>
      </c>
    </row>
    <row r="30" spans="1:16" x14ac:dyDescent="0.2">
      <c r="A30" s="19" t="s">
        <v>68</v>
      </c>
      <c r="B30" s="19" t="s">
        <v>69</v>
      </c>
      <c r="C30" s="20">
        <v>44396</v>
      </c>
      <c r="D30" s="19">
        <v>66</v>
      </c>
      <c r="E30" s="21">
        <v>1.5044</v>
      </c>
      <c r="F30" s="22">
        <v>0.72899999999999998</v>
      </c>
      <c r="G30" s="23">
        <v>0</v>
      </c>
      <c r="H30" s="35">
        <f>'[1]auto data'!J18</f>
        <v>0.77</v>
      </c>
      <c r="I30" s="34">
        <v>0</v>
      </c>
      <c r="J30" s="21">
        <f>C136</f>
        <v>1.4832393948383269</v>
      </c>
      <c r="K30" s="23">
        <f t="shared" si="12"/>
        <v>34.262844000000001</v>
      </c>
      <c r="L30" s="36" t="s">
        <v>59</v>
      </c>
      <c r="M30" s="27">
        <f t="shared" si="11"/>
        <v>34.262844000000001</v>
      </c>
      <c r="N30" s="28">
        <v>0.8</v>
      </c>
      <c r="O30" s="29">
        <f>(N30+I30)*0.5</f>
        <v>0.4</v>
      </c>
      <c r="P30" s="30">
        <f t="shared" si="14"/>
        <v>-0.32899999999999996</v>
      </c>
    </row>
    <row r="31" spans="1:16" x14ac:dyDescent="0.2">
      <c r="A31" s="19" t="s">
        <v>70</v>
      </c>
      <c r="B31" s="19" t="s">
        <v>71</v>
      </c>
      <c r="C31" s="20">
        <v>44438</v>
      </c>
      <c r="D31" s="19">
        <v>5000</v>
      </c>
      <c r="E31" s="21">
        <v>1.4879</v>
      </c>
      <c r="F31" s="33">
        <v>6.5000000000000002E-2</v>
      </c>
      <c r="G31" s="23">
        <f>(F31*D31)/E31</f>
        <v>218.4286578399086</v>
      </c>
      <c r="H31" s="35">
        <f>'[1]auto data'!J36</f>
        <v>5.5E-2</v>
      </c>
      <c r="I31" s="34">
        <v>0</v>
      </c>
      <c r="J31" s="21">
        <f>C136</f>
        <v>1.4832393948383269</v>
      </c>
      <c r="K31" s="23">
        <f>((H31+I31)/J31)*D31</f>
        <v>185.405</v>
      </c>
      <c r="L31" s="26">
        <f>(K31-G31)/G31</f>
        <v>-0.15118738615384614</v>
      </c>
      <c r="M31" s="27">
        <f t="shared" si="11"/>
        <v>-33.023657839908594</v>
      </c>
      <c r="N31" s="28">
        <v>6.5000000000000002E-2</v>
      </c>
      <c r="O31" s="29">
        <f>(N31+I31)*0.5</f>
        <v>3.2500000000000001E-2</v>
      </c>
      <c r="P31" s="30">
        <f>O31-F31</f>
        <v>-3.2500000000000001E-2</v>
      </c>
    </row>
    <row r="32" spans="1:16" x14ac:dyDescent="0.2">
      <c r="A32" s="2" t="s">
        <v>72</v>
      </c>
      <c r="B32" s="3"/>
      <c r="C32" s="3"/>
      <c r="D32" s="3"/>
      <c r="E32" s="3"/>
      <c r="F32" s="4"/>
      <c r="G32" s="5"/>
      <c r="H32" s="6"/>
      <c r="I32" s="6"/>
      <c r="J32" s="6"/>
      <c r="K32" s="7"/>
      <c r="L32" s="37" t="s">
        <v>1</v>
      </c>
      <c r="M32" s="5">
        <f>SUM(K34:K38)</f>
        <v>12989.682979999998</v>
      </c>
      <c r="N32" s="6"/>
      <c r="O32" s="7"/>
      <c r="P32" s="38">
        <f>M32/P140</f>
        <v>0.22874503449056105</v>
      </c>
    </row>
    <row r="33" spans="1:16" x14ac:dyDescent="0.2">
      <c r="A33" s="13" t="s">
        <v>2</v>
      </c>
      <c r="B33" s="13" t="s">
        <v>3</v>
      </c>
      <c r="C33" s="14" t="s">
        <v>4</v>
      </c>
      <c r="D33" s="13" t="s">
        <v>5</v>
      </c>
      <c r="E33" s="13" t="s">
        <v>6</v>
      </c>
      <c r="F33" s="13" t="s">
        <v>7</v>
      </c>
      <c r="G33" s="13" t="s">
        <v>8</v>
      </c>
      <c r="H33" s="15" t="s">
        <v>9</v>
      </c>
      <c r="I33" s="13" t="s">
        <v>10</v>
      </c>
      <c r="J33" s="13" t="s">
        <v>11</v>
      </c>
      <c r="K33" s="13" t="s">
        <v>12</v>
      </c>
      <c r="L33" s="13" t="s">
        <v>13</v>
      </c>
      <c r="M33" s="16" t="s">
        <v>14</v>
      </c>
      <c r="N33" s="17" t="s">
        <v>15</v>
      </c>
      <c r="O33" s="18" t="s">
        <v>16</v>
      </c>
      <c r="P33" s="16" t="s">
        <v>17</v>
      </c>
    </row>
    <row r="34" spans="1:16" x14ac:dyDescent="0.2">
      <c r="A34" s="19" t="s">
        <v>73</v>
      </c>
      <c r="B34" s="19" t="s">
        <v>74</v>
      </c>
      <c r="C34" s="20">
        <v>43906</v>
      </c>
      <c r="D34" s="19">
        <v>900</v>
      </c>
      <c r="E34" s="21">
        <v>1.1200000000000001</v>
      </c>
      <c r="F34" s="22">
        <v>2.5</v>
      </c>
      <c r="G34" s="23">
        <f t="shared" si="0"/>
        <v>2008.9285714285713</v>
      </c>
      <c r="H34" s="39">
        <f>'[1]auto data'!G3</f>
        <v>3.72</v>
      </c>
      <c r="I34" s="25">
        <f>[1]Dividend!P7</f>
        <v>0.60000000000000009</v>
      </c>
      <c r="J34" s="21">
        <f>C135</f>
        <v>1.1717834544176235</v>
      </c>
      <c r="K34" s="23">
        <f>((H34+I34)/J34)*D34</f>
        <v>3318.0192000000006</v>
      </c>
      <c r="L34" s="31">
        <f>(K34-G34)/G34</f>
        <v>0.65163622400000043</v>
      </c>
      <c r="M34" s="27">
        <f t="shared" si="7"/>
        <v>1309.0906285714293</v>
      </c>
      <c r="N34" s="28">
        <v>4.25</v>
      </c>
      <c r="O34" s="29">
        <f>(N34+I34)*0.75</f>
        <v>3.6374999999999997</v>
      </c>
      <c r="P34" s="40">
        <f>O34-F34</f>
        <v>1.1374999999999997</v>
      </c>
    </row>
    <row r="35" spans="1:16" x14ac:dyDescent="0.2">
      <c r="A35" s="19" t="s">
        <v>75</v>
      </c>
      <c r="B35" s="19" t="s">
        <v>76</v>
      </c>
      <c r="C35" s="20">
        <v>44103</v>
      </c>
      <c r="D35" s="19">
        <v>750</v>
      </c>
      <c r="E35" s="21">
        <v>1.175</v>
      </c>
      <c r="F35" s="22">
        <v>5.03</v>
      </c>
      <c r="G35" s="23">
        <f t="shared" si="0"/>
        <v>3210.6382978723404</v>
      </c>
      <c r="H35" s="39">
        <f>'[1]auto data'!G4</f>
        <v>5.12</v>
      </c>
      <c r="I35" s="25">
        <f>[1]Dividend!P8</f>
        <v>0.39</v>
      </c>
      <c r="J35" s="21">
        <f>C135</f>
        <v>1.1717834544176235</v>
      </c>
      <c r="K35" s="23">
        <f>((H35+I35)/J35)*D35</f>
        <v>3526.6754999999998</v>
      </c>
      <c r="L35" s="31">
        <f>(K35-G35)/G35</f>
        <v>9.8434383697813058E-2</v>
      </c>
      <c r="M35" s="27">
        <f t="shared" si="7"/>
        <v>316.03720212765938</v>
      </c>
      <c r="N35" s="41">
        <v>5.95</v>
      </c>
      <c r="O35" s="29">
        <f>(N35+I35)*0.75</f>
        <v>4.7549999999999999</v>
      </c>
      <c r="P35" s="30">
        <f>O35-F35</f>
        <v>-0.27500000000000036</v>
      </c>
    </row>
    <row r="36" spans="1:16" x14ac:dyDescent="0.2">
      <c r="A36" s="19" t="s">
        <v>77</v>
      </c>
      <c r="B36" s="19" t="s">
        <v>78</v>
      </c>
      <c r="C36" s="20">
        <v>44137</v>
      </c>
      <c r="D36" s="19">
        <v>30</v>
      </c>
      <c r="E36" s="21">
        <v>1.1639999999999999</v>
      </c>
      <c r="F36" s="22">
        <v>36.47</v>
      </c>
      <c r="G36" s="23">
        <f t="shared" si="0"/>
        <v>939.94845360824741</v>
      </c>
      <c r="H36" s="39">
        <f>'[1]auto data'!G5</f>
        <v>48.46</v>
      </c>
      <c r="I36" s="25">
        <f>[1]Dividend!P11</f>
        <v>3.48</v>
      </c>
      <c r="J36" s="21">
        <f>C135</f>
        <v>1.1717834544176235</v>
      </c>
      <c r="K36" s="23">
        <f>((H36+I36)/J36)*D36</f>
        <v>1329.7678799999999</v>
      </c>
      <c r="L36" s="31">
        <f>(K36-G36)/G36</f>
        <v>0.41472425950095959</v>
      </c>
      <c r="M36" s="27">
        <f t="shared" si="7"/>
        <v>389.81942639175247</v>
      </c>
      <c r="N36" s="28">
        <v>52.5</v>
      </c>
      <c r="O36" s="29">
        <f>(N36+I36)*0.75</f>
        <v>41.984999999999999</v>
      </c>
      <c r="P36" s="40">
        <f>O36-F36</f>
        <v>5.5150000000000006</v>
      </c>
    </row>
    <row r="37" spans="1:16" x14ac:dyDescent="0.2">
      <c r="A37" s="19" t="s">
        <v>79</v>
      </c>
      <c r="B37" s="19" t="s">
        <v>80</v>
      </c>
      <c r="C37" s="20">
        <v>44165</v>
      </c>
      <c r="D37" s="19">
        <v>100</v>
      </c>
      <c r="E37" s="21">
        <v>1.1944999999999999</v>
      </c>
      <c r="F37" s="22">
        <v>33.25</v>
      </c>
      <c r="G37" s="23">
        <f t="shared" si="0"/>
        <v>2783.5914608622857</v>
      </c>
      <c r="H37" s="39">
        <f>'[1]auto data'!G6</f>
        <v>33.44</v>
      </c>
      <c r="I37" s="25">
        <f>[1]Dividend!P12</f>
        <v>1.6199999999999997</v>
      </c>
      <c r="J37" s="21">
        <f>C135</f>
        <v>1.1717834544176235</v>
      </c>
      <c r="K37" s="23">
        <f>((H37+I37)/J37)*D37</f>
        <v>2992.0203999999999</v>
      </c>
      <c r="L37" s="31">
        <f>(K37-G37)/G37</f>
        <v>7.4877704601503642E-2</v>
      </c>
      <c r="M37" s="27">
        <f t="shared" si="7"/>
        <v>208.42893913771422</v>
      </c>
      <c r="N37" s="41">
        <v>36.119999999999997</v>
      </c>
      <c r="O37" s="29">
        <f>(N37+I37)*0.75</f>
        <v>28.304999999999996</v>
      </c>
      <c r="P37" s="30">
        <f>O37-F37</f>
        <v>-4.9450000000000038</v>
      </c>
    </row>
    <row r="38" spans="1:16" x14ac:dyDescent="0.2">
      <c r="A38" s="19" t="s">
        <v>81</v>
      </c>
      <c r="B38" s="19" t="s">
        <v>82</v>
      </c>
      <c r="C38" s="20">
        <v>44403</v>
      </c>
      <c r="D38" s="19">
        <v>100</v>
      </c>
      <c r="E38" s="21">
        <v>1</v>
      </c>
      <c r="F38" s="22">
        <v>16.3</v>
      </c>
      <c r="G38" s="23">
        <f t="shared" si="0"/>
        <v>1630</v>
      </c>
      <c r="H38" s="39">
        <f>'[1]auto data'!G7</f>
        <v>17.992000000000001</v>
      </c>
      <c r="I38" s="25">
        <f>[1]Dividend!P14</f>
        <v>0.24</v>
      </c>
      <c r="J38" s="21">
        <v>1</v>
      </c>
      <c r="K38" s="23">
        <f>((H38+I38)/J38)*D38</f>
        <v>1823.1999999999998</v>
      </c>
      <c r="L38" s="31">
        <f>(K38-G38)/G38</f>
        <v>0.11852760736196308</v>
      </c>
      <c r="M38" s="27">
        <f t="shared" si="7"/>
        <v>193.19999999999982</v>
      </c>
      <c r="N38" s="41">
        <v>17.37</v>
      </c>
      <c r="O38" s="29">
        <f>(N38+I38)*0.75</f>
        <v>13.2075</v>
      </c>
      <c r="P38" s="30">
        <f>O38-F38</f>
        <v>-3.0925000000000011</v>
      </c>
    </row>
    <row r="39" spans="1:16" x14ac:dyDescent="0.2">
      <c r="A39" s="2" t="s">
        <v>83</v>
      </c>
      <c r="B39" s="3"/>
      <c r="C39" s="3"/>
      <c r="D39" s="3"/>
      <c r="E39" s="3"/>
      <c r="F39" s="4"/>
      <c r="G39" s="42"/>
      <c r="H39" s="43"/>
      <c r="I39" s="43"/>
      <c r="J39" s="43"/>
      <c r="K39" s="44"/>
      <c r="L39" s="8" t="s">
        <v>1</v>
      </c>
      <c r="M39" s="9">
        <f>SUM(K41:K46)</f>
        <v>2337.5595000000003</v>
      </c>
      <c r="N39" s="10"/>
      <c r="O39" s="11"/>
      <c r="P39" s="12">
        <f>M39/P140</f>
        <v>4.11638320407446E-2</v>
      </c>
    </row>
    <row r="40" spans="1:16" x14ac:dyDescent="0.2">
      <c r="A40" s="13" t="s">
        <v>2</v>
      </c>
      <c r="B40" s="13" t="s">
        <v>3</v>
      </c>
      <c r="C40" s="14" t="s">
        <v>4</v>
      </c>
      <c r="D40" s="13" t="s">
        <v>5</v>
      </c>
      <c r="E40" s="13" t="s">
        <v>6</v>
      </c>
      <c r="F40" s="13" t="s">
        <v>7</v>
      </c>
      <c r="G40" s="13" t="s">
        <v>8</v>
      </c>
      <c r="H40" s="15" t="s">
        <v>9</v>
      </c>
      <c r="I40" s="13" t="s">
        <v>10</v>
      </c>
      <c r="J40" s="13" t="s">
        <v>11</v>
      </c>
      <c r="K40" s="13" t="s">
        <v>12</v>
      </c>
      <c r="L40" s="13" t="s">
        <v>13</v>
      </c>
      <c r="M40" s="16" t="s">
        <v>14</v>
      </c>
      <c r="N40" s="17" t="s">
        <v>15</v>
      </c>
      <c r="O40" s="18" t="s">
        <v>16</v>
      </c>
      <c r="P40" s="16" t="s">
        <v>17</v>
      </c>
    </row>
    <row r="41" spans="1:16" x14ac:dyDescent="0.2">
      <c r="A41" s="19" t="s">
        <v>84</v>
      </c>
      <c r="B41" s="19" t="s">
        <v>85</v>
      </c>
      <c r="C41" s="20">
        <v>44253</v>
      </c>
      <c r="D41" s="19">
        <v>400</v>
      </c>
      <c r="E41" s="21">
        <v>1.52</v>
      </c>
      <c r="F41" s="22">
        <v>1.05</v>
      </c>
      <c r="G41" s="23">
        <f t="shared" si="0"/>
        <v>276.31578947368422</v>
      </c>
      <c r="H41" s="45">
        <f>'[1]auto data'!M4</f>
        <v>1.33</v>
      </c>
      <c r="I41" s="19">
        <v>0</v>
      </c>
      <c r="J41" s="21">
        <f>C136</f>
        <v>1.4832393948383269</v>
      </c>
      <c r="K41" s="23">
        <f t="shared" ref="K41:K44" si="15">((H41+I41)/J41)*D41</f>
        <v>358.67440000000005</v>
      </c>
      <c r="L41" s="31">
        <f t="shared" ref="L41:L44" si="16">(K41-G41)/G41</f>
        <v>0.29805973333333347</v>
      </c>
      <c r="M41" s="27">
        <f t="shared" ref="M41:M44" si="17">K41-G41</f>
        <v>82.358610526315829</v>
      </c>
      <c r="N41" s="28">
        <v>1.51</v>
      </c>
      <c r="O41" s="29">
        <f t="shared" ref="O41:O44" si="18">(N41+I41)*0.5</f>
        <v>0.755</v>
      </c>
      <c r="P41" s="30">
        <f t="shared" ref="P41:P44" si="19">O41-F41</f>
        <v>-0.29500000000000004</v>
      </c>
    </row>
    <row r="42" spans="1:16" x14ac:dyDescent="0.2">
      <c r="A42" s="19" t="s">
        <v>86</v>
      </c>
      <c r="B42" s="19" t="s">
        <v>87</v>
      </c>
      <c r="C42" s="20">
        <v>44270</v>
      </c>
      <c r="D42" s="19">
        <v>150</v>
      </c>
      <c r="E42" s="21">
        <v>1.49</v>
      </c>
      <c r="F42" s="22">
        <v>2.19</v>
      </c>
      <c r="G42" s="23">
        <f t="shared" si="0"/>
        <v>220.46979865771812</v>
      </c>
      <c r="H42" s="45">
        <f>'[1]auto data'!M5</f>
        <v>2.97</v>
      </c>
      <c r="I42" s="19">
        <v>0</v>
      </c>
      <c r="J42" s="21">
        <f>C136</f>
        <v>1.4832393948383269</v>
      </c>
      <c r="K42" s="23">
        <f t="shared" si="15"/>
        <v>300.35610000000003</v>
      </c>
      <c r="L42" s="31">
        <f t="shared" si="16"/>
        <v>0.36234578082191798</v>
      </c>
      <c r="M42" s="27">
        <f t="shared" si="17"/>
        <v>79.886301342281911</v>
      </c>
      <c r="N42" s="28">
        <v>3.2</v>
      </c>
      <c r="O42" s="29">
        <f t="shared" si="18"/>
        <v>1.6</v>
      </c>
      <c r="P42" s="30">
        <f t="shared" si="19"/>
        <v>-0.58999999999999986</v>
      </c>
    </row>
    <row r="43" spans="1:16" x14ac:dyDescent="0.2">
      <c r="A43" s="19" t="s">
        <v>88</v>
      </c>
      <c r="B43" s="19" t="s">
        <v>89</v>
      </c>
      <c r="C43" s="20">
        <v>44278</v>
      </c>
      <c r="D43" s="19">
        <v>100</v>
      </c>
      <c r="E43" s="21">
        <v>1.1825000000000001</v>
      </c>
      <c r="F43" s="22">
        <v>4.8099999999999996</v>
      </c>
      <c r="G43" s="23">
        <f t="shared" si="0"/>
        <v>406.76532769556019</v>
      </c>
      <c r="H43" s="45">
        <f>'[1]auto data'!M6</f>
        <v>6.31</v>
      </c>
      <c r="I43" s="19">
        <v>0</v>
      </c>
      <c r="J43" s="21">
        <f>C135</f>
        <v>1.1717834544176235</v>
      </c>
      <c r="K43" s="23">
        <f t="shared" si="15"/>
        <v>538.4953999999999</v>
      </c>
      <c r="L43" s="31">
        <f t="shared" si="16"/>
        <v>0.32384783887733887</v>
      </c>
      <c r="M43" s="27">
        <f t="shared" si="17"/>
        <v>131.73007230443972</v>
      </c>
      <c r="N43" s="28">
        <v>7.03</v>
      </c>
      <c r="O43" s="29">
        <f t="shared" si="18"/>
        <v>3.5150000000000001</v>
      </c>
      <c r="P43" s="30">
        <f t="shared" si="19"/>
        <v>-1.2949999999999995</v>
      </c>
    </row>
    <row r="44" spans="1:16" x14ac:dyDescent="0.2">
      <c r="A44" s="19" t="s">
        <v>90</v>
      </c>
      <c r="B44" s="19" t="s">
        <v>91</v>
      </c>
      <c r="C44" s="20">
        <v>44285</v>
      </c>
      <c r="D44" s="19">
        <v>300</v>
      </c>
      <c r="E44" s="21">
        <v>1.48</v>
      </c>
      <c r="F44" s="22">
        <v>1.115</v>
      </c>
      <c r="G44" s="23">
        <f t="shared" si="0"/>
        <v>226.01351351351352</v>
      </c>
      <c r="H44" s="45">
        <f>'[1]auto data'!M8</f>
        <v>1.71</v>
      </c>
      <c r="I44" s="19">
        <v>0</v>
      </c>
      <c r="J44" s="21">
        <f>C136</f>
        <v>1.4832393948383269</v>
      </c>
      <c r="K44" s="23">
        <f t="shared" si="15"/>
        <v>345.8646</v>
      </c>
      <c r="L44" s="31">
        <f t="shared" si="16"/>
        <v>0.53028283408071741</v>
      </c>
      <c r="M44" s="27">
        <f t="shared" si="17"/>
        <v>119.85108648648648</v>
      </c>
      <c r="N44" s="28">
        <v>1.55</v>
      </c>
      <c r="O44" s="29">
        <f t="shared" si="18"/>
        <v>0.77500000000000002</v>
      </c>
      <c r="P44" s="30">
        <f t="shared" si="19"/>
        <v>-0.33999999999999997</v>
      </c>
    </row>
    <row r="45" spans="1:16" x14ac:dyDescent="0.2">
      <c r="A45" s="19" t="s">
        <v>92</v>
      </c>
      <c r="B45" s="19" t="s">
        <v>93</v>
      </c>
      <c r="C45" s="20">
        <v>44350</v>
      </c>
      <c r="D45" s="19">
        <v>3000</v>
      </c>
      <c r="E45" s="21">
        <v>1.57</v>
      </c>
      <c r="F45" s="22">
        <v>0.17499999999999999</v>
      </c>
      <c r="G45" s="23">
        <f t="shared" si="0"/>
        <v>334.39490445859872</v>
      </c>
      <c r="H45" s="45">
        <f>'[1]auto data'!M12</f>
        <v>0.27500000000000002</v>
      </c>
      <c r="I45" s="19">
        <v>0</v>
      </c>
      <c r="J45" s="21">
        <f>C137</f>
        <v>1.614465611882467</v>
      </c>
      <c r="K45" s="23">
        <f>((H45+I45)/J45)*D45</f>
        <v>511.00500000000005</v>
      </c>
      <c r="L45" s="31">
        <f>(K45-G45)/G45</f>
        <v>0.52814828571428596</v>
      </c>
      <c r="M45" s="27">
        <f>K45-G45</f>
        <v>176.61009554140134</v>
      </c>
      <c r="N45" s="28">
        <v>1.17</v>
      </c>
      <c r="O45" s="29">
        <f>(N45+I45)*0.5</f>
        <v>0.58499999999999996</v>
      </c>
      <c r="P45" s="30">
        <f>O45-F45</f>
        <v>0.41</v>
      </c>
    </row>
    <row r="46" spans="1:16" x14ac:dyDescent="0.2">
      <c r="A46" s="19" t="s">
        <v>94</v>
      </c>
      <c r="B46" s="19" t="s">
        <v>95</v>
      </c>
      <c r="C46" s="20">
        <v>44354</v>
      </c>
      <c r="D46" s="19">
        <v>1000</v>
      </c>
      <c r="E46" s="21">
        <v>1.4715</v>
      </c>
      <c r="F46" s="22">
        <v>0.41</v>
      </c>
      <c r="G46" s="23">
        <f t="shared" si="0"/>
        <v>278.62725110431529</v>
      </c>
      <c r="H46" s="45">
        <f>'[1]auto data'!M13</f>
        <v>0.42</v>
      </c>
      <c r="I46" s="19">
        <v>0</v>
      </c>
      <c r="J46" s="21">
        <f>C136</f>
        <v>1.4832393948383269</v>
      </c>
      <c r="K46" s="23">
        <f>((H46+I46)/J46)*D46</f>
        <v>283.16399999999999</v>
      </c>
      <c r="L46" s="31">
        <f>(K46-G46)/G46</f>
        <v>1.6282502439024463E-2</v>
      </c>
      <c r="M46" s="27">
        <f>K46-G46</f>
        <v>4.5367488956846955</v>
      </c>
      <c r="N46" s="28">
        <v>0.46500000000000002</v>
      </c>
      <c r="O46" s="29">
        <f>(N46+I46)*0.5</f>
        <v>0.23250000000000001</v>
      </c>
      <c r="P46" s="30">
        <f>O46-F46</f>
        <v>-0.17749999999999996</v>
      </c>
    </row>
    <row r="47" spans="1:16" x14ac:dyDescent="0.2">
      <c r="A47" s="19" t="s">
        <v>96</v>
      </c>
      <c r="B47" s="19" t="s">
        <v>97</v>
      </c>
      <c r="C47" s="20">
        <v>44459</v>
      </c>
      <c r="D47" s="19">
        <v>400</v>
      </c>
      <c r="E47" s="21">
        <v>1.5044</v>
      </c>
      <c r="F47" s="22">
        <v>0.89</v>
      </c>
      <c r="G47" s="23">
        <f t="shared" si="0"/>
        <v>236.63919170433397</v>
      </c>
      <c r="H47" s="45">
        <f>'[1]auto data'!M9</f>
        <v>0.84</v>
      </c>
      <c r="I47" s="19">
        <v>0</v>
      </c>
      <c r="J47" s="21">
        <f>C136</f>
        <v>1.4832393948383269</v>
      </c>
      <c r="K47" s="23">
        <f>((H47+I47)/J47)*D47</f>
        <v>226.53119999999998</v>
      </c>
      <c r="L47" s="26">
        <f>(K47-G47)/G47</f>
        <v>-4.2714782921348435E-2</v>
      </c>
      <c r="M47" s="27">
        <f>K47-G47</f>
        <v>-10.107991704333983</v>
      </c>
      <c r="N47" s="28">
        <v>0.9</v>
      </c>
      <c r="O47" s="29">
        <f>(N47+I47)*0.5</f>
        <v>0.45</v>
      </c>
      <c r="P47" s="30">
        <f>O47-F47</f>
        <v>-0.44</v>
      </c>
    </row>
    <row r="48" spans="1:16" x14ac:dyDescent="0.2">
      <c r="A48" s="2" t="s">
        <v>98</v>
      </c>
      <c r="B48" s="3"/>
      <c r="C48" s="3"/>
      <c r="D48" s="3"/>
      <c r="E48" s="3"/>
      <c r="F48" s="4"/>
      <c r="G48" s="5"/>
      <c r="H48" s="6"/>
      <c r="I48" s="6"/>
      <c r="J48" s="6"/>
      <c r="K48" s="7"/>
      <c r="L48" s="8" t="s">
        <v>1</v>
      </c>
      <c r="M48" s="9">
        <f>SUM(K50:K51)</f>
        <v>635.09640000000002</v>
      </c>
      <c r="N48" s="10"/>
      <c r="O48" s="11"/>
      <c r="P48" s="12">
        <f>M48/P140</f>
        <v>1.1183887100748257E-2</v>
      </c>
    </row>
    <row r="49" spans="1:16" x14ac:dyDescent="0.2">
      <c r="A49" s="13" t="s">
        <v>2</v>
      </c>
      <c r="B49" s="13" t="s">
        <v>3</v>
      </c>
      <c r="C49" s="14" t="s">
        <v>4</v>
      </c>
      <c r="D49" s="13" t="s">
        <v>5</v>
      </c>
      <c r="E49" s="13" t="s">
        <v>6</v>
      </c>
      <c r="F49" s="13" t="s">
        <v>7</v>
      </c>
      <c r="G49" s="13" t="s">
        <v>8</v>
      </c>
      <c r="H49" s="15" t="s">
        <v>9</v>
      </c>
      <c r="I49" s="13" t="s">
        <v>10</v>
      </c>
      <c r="J49" s="13" t="s">
        <v>11</v>
      </c>
      <c r="K49" s="13" t="s">
        <v>12</v>
      </c>
      <c r="L49" s="13" t="s">
        <v>13</v>
      </c>
      <c r="M49" s="16" t="s">
        <v>14</v>
      </c>
      <c r="N49" s="17" t="s">
        <v>15</v>
      </c>
      <c r="O49" s="18" t="s">
        <v>16</v>
      </c>
      <c r="P49" s="16" t="s">
        <v>17</v>
      </c>
    </row>
    <row r="50" spans="1:16" x14ac:dyDescent="0.2">
      <c r="A50" s="19" t="s">
        <v>99</v>
      </c>
      <c r="B50" s="19" t="s">
        <v>100</v>
      </c>
      <c r="C50" s="20">
        <v>44187</v>
      </c>
      <c r="D50" s="19">
        <v>200</v>
      </c>
      <c r="E50" s="21">
        <v>1.57</v>
      </c>
      <c r="F50" s="25">
        <v>2.97</v>
      </c>
      <c r="G50" s="23">
        <f t="shared" si="0"/>
        <v>378.343949044586</v>
      </c>
      <c r="H50" s="46">
        <f>'[1]auto data'!P4</f>
        <v>2.86</v>
      </c>
      <c r="I50" s="19">
        <v>0</v>
      </c>
      <c r="J50" s="21">
        <f>C136</f>
        <v>1.4832393948383269</v>
      </c>
      <c r="K50" s="23">
        <f>((H50+I50)/J50)*D50</f>
        <v>385.64240000000001</v>
      </c>
      <c r="L50" s="31">
        <f>(K50-G50)/G50</f>
        <v>1.9290518518518516E-2</v>
      </c>
      <c r="M50" s="27">
        <f>K50-G50</f>
        <v>7.2984509554140118</v>
      </c>
      <c r="N50" s="28">
        <v>5.3</v>
      </c>
      <c r="O50" s="29">
        <f>(N50+I50)*0.5</f>
        <v>2.65</v>
      </c>
      <c r="P50" s="30">
        <f>O50-F50</f>
        <v>-0.32000000000000028</v>
      </c>
    </row>
    <row r="51" spans="1:16" x14ac:dyDescent="0.2">
      <c r="A51" s="19" t="s">
        <v>101</v>
      </c>
      <c r="B51" s="19" t="s">
        <v>102</v>
      </c>
      <c r="C51" s="20">
        <v>44246</v>
      </c>
      <c r="D51" s="19">
        <v>1000</v>
      </c>
      <c r="E51" s="21">
        <v>1.54</v>
      </c>
      <c r="F51" s="25">
        <v>0.34</v>
      </c>
      <c r="G51" s="23">
        <f t="shared" si="0"/>
        <v>220.77922077922076</v>
      </c>
      <c r="H51" s="46">
        <f>'[1]auto data'!P5</f>
        <v>0.37</v>
      </c>
      <c r="I51" s="19">
        <v>0</v>
      </c>
      <c r="J51" s="21">
        <f>C136</f>
        <v>1.4832393948383269</v>
      </c>
      <c r="K51" s="23">
        <f>((H51+I51)/J51)*D51</f>
        <v>249.45400000000001</v>
      </c>
      <c r="L51" s="31">
        <f>(K51-G51)/G51</f>
        <v>0.12987988235294129</v>
      </c>
      <c r="M51" s="27">
        <f>K51-G51</f>
        <v>28.674779220779243</v>
      </c>
      <c r="N51" s="28">
        <v>0.4</v>
      </c>
      <c r="O51" s="29">
        <f>(N51+I51)*0.33</f>
        <v>0.13200000000000001</v>
      </c>
      <c r="P51" s="30">
        <f>O51-F51</f>
        <v>-0.20800000000000002</v>
      </c>
    </row>
    <row r="52" spans="1:16" x14ac:dyDescent="0.2">
      <c r="A52" s="2" t="s">
        <v>103</v>
      </c>
      <c r="B52" s="3"/>
      <c r="C52" s="3"/>
      <c r="D52" s="3"/>
      <c r="E52" s="3"/>
      <c r="F52" s="4"/>
      <c r="G52" s="5"/>
      <c r="H52" s="6"/>
      <c r="I52" s="6"/>
      <c r="J52" s="6"/>
      <c r="K52" s="7"/>
      <c r="L52" s="8" t="s">
        <v>1</v>
      </c>
      <c r="M52" s="9">
        <f>SUM(K54:K59)</f>
        <v>109.55459999999997</v>
      </c>
      <c r="N52" s="10"/>
      <c r="O52" s="11"/>
      <c r="P52" s="12">
        <f>M52/P140</f>
        <v>1.9292288190700412E-3</v>
      </c>
    </row>
    <row r="53" spans="1:16" x14ac:dyDescent="0.2">
      <c r="A53" s="13" t="s">
        <v>104</v>
      </c>
      <c r="B53" s="13" t="s">
        <v>3</v>
      </c>
      <c r="C53" s="14" t="s">
        <v>4</v>
      </c>
      <c r="D53" s="13" t="s">
        <v>5</v>
      </c>
      <c r="E53" s="13" t="s">
        <v>6</v>
      </c>
      <c r="F53" s="13" t="s">
        <v>7</v>
      </c>
      <c r="G53" s="13" t="s">
        <v>8</v>
      </c>
      <c r="H53" s="15" t="s">
        <v>9</v>
      </c>
      <c r="I53" s="13" t="s">
        <v>10</v>
      </c>
      <c r="J53" s="13" t="s">
        <v>11</v>
      </c>
      <c r="K53" s="13" t="s">
        <v>12</v>
      </c>
      <c r="L53" s="13" t="s">
        <v>13</v>
      </c>
      <c r="M53" s="47"/>
      <c r="N53" s="48"/>
      <c r="O53" s="49"/>
      <c r="P53" s="16" t="s">
        <v>105</v>
      </c>
    </row>
    <row r="54" spans="1:16" x14ac:dyDescent="0.2">
      <c r="A54" s="41" t="s">
        <v>106</v>
      </c>
      <c r="B54" s="19" t="s">
        <v>107</v>
      </c>
      <c r="C54" s="20">
        <v>44033</v>
      </c>
      <c r="D54" s="19">
        <v>1</v>
      </c>
      <c r="E54" s="21">
        <v>1.145</v>
      </c>
      <c r="F54" s="22">
        <v>-261</v>
      </c>
      <c r="G54" s="23">
        <f>(F54*D54)/E54</f>
        <v>-227.94759825327512</v>
      </c>
      <c r="H54" s="50">
        <v>-125</v>
      </c>
      <c r="I54" s="19">
        <v>0</v>
      </c>
      <c r="J54" s="21">
        <f>C135</f>
        <v>1.1717834544176235</v>
      </c>
      <c r="K54" s="23">
        <f>((H54-F54)/J54)*D54</f>
        <v>116.06240000000001</v>
      </c>
      <c r="L54" s="31">
        <f>-(K54-G54)/G54</f>
        <v>1.5091626360153256</v>
      </c>
      <c r="M54" s="27"/>
      <c r="N54" s="41"/>
      <c r="O54" s="29"/>
      <c r="P54" s="30" t="s">
        <v>108</v>
      </c>
    </row>
    <row r="55" spans="1:16" x14ac:dyDescent="0.2">
      <c r="A55" s="41" t="s">
        <v>109</v>
      </c>
      <c r="B55" s="19" t="s">
        <v>19</v>
      </c>
      <c r="C55" s="20">
        <v>44946</v>
      </c>
      <c r="D55" s="19">
        <v>2</v>
      </c>
      <c r="E55" s="21">
        <v>1.2199</v>
      </c>
      <c r="F55" s="19">
        <v>-240</v>
      </c>
      <c r="G55" s="23">
        <f>(F55*D55)/E55</f>
        <v>-393.47487498975329</v>
      </c>
      <c r="H55" s="51">
        <v>-195</v>
      </c>
      <c r="I55" s="19">
        <v>0</v>
      </c>
      <c r="J55" s="21">
        <f>C135</f>
        <v>1.1717834544176235</v>
      </c>
      <c r="K55" s="23">
        <f>((H55-F55)/J55)*D55</f>
        <v>76.806000000000012</v>
      </c>
      <c r="L55" s="31">
        <f>-(K55)/G55</f>
        <v>0.19519924875000003</v>
      </c>
      <c r="M55" s="27"/>
      <c r="N55" s="41"/>
      <c r="O55" s="29"/>
      <c r="P55" s="30"/>
    </row>
    <row r="56" spans="1:16" x14ac:dyDescent="0.2">
      <c r="A56" s="41" t="s">
        <v>110</v>
      </c>
      <c r="B56" s="19" t="s">
        <v>89</v>
      </c>
      <c r="C56" s="20">
        <v>44946</v>
      </c>
      <c r="D56" s="19">
        <v>1</v>
      </c>
      <c r="E56" s="21">
        <v>1.2027000000000001</v>
      </c>
      <c r="F56" s="19">
        <v>-225</v>
      </c>
      <c r="G56" s="23">
        <f>(F56*D56)/E56</f>
        <v>-187.07907208780242</v>
      </c>
      <c r="H56" s="51">
        <v>-197</v>
      </c>
      <c r="I56" s="19">
        <v>0</v>
      </c>
      <c r="J56" s="21">
        <f>C135</f>
        <v>1.1717834544176235</v>
      </c>
      <c r="K56" s="23">
        <f t="shared" ref="K56:K58" si="20">((H56-F56)/J56)*D56</f>
        <v>23.895200000000003</v>
      </c>
      <c r="L56" s="31">
        <f t="shared" ref="L56:L57" si="21">-(K56)/G56</f>
        <v>0.1277278090666667</v>
      </c>
      <c r="M56" s="27"/>
      <c r="N56" s="41"/>
      <c r="O56" s="29"/>
      <c r="P56" s="30"/>
    </row>
    <row r="57" spans="1:16" x14ac:dyDescent="0.2">
      <c r="A57" s="41" t="s">
        <v>111</v>
      </c>
      <c r="B57" s="19" t="s">
        <v>37</v>
      </c>
      <c r="C57" s="20">
        <v>44610</v>
      </c>
      <c r="D57" s="19">
        <v>1</v>
      </c>
      <c r="E57" s="21">
        <v>1.2027000000000001</v>
      </c>
      <c r="F57" s="19">
        <v>-276</v>
      </c>
      <c r="G57" s="23">
        <f>(F57*D57)/E57</f>
        <v>-229.48366176103764</v>
      </c>
      <c r="H57" s="51">
        <v>-347</v>
      </c>
      <c r="I57" s="19">
        <v>0</v>
      </c>
      <c r="J57" s="21">
        <f>C135</f>
        <v>1.1717834544176235</v>
      </c>
      <c r="K57" s="23">
        <f t="shared" si="20"/>
        <v>-60.591400000000007</v>
      </c>
      <c r="L57" s="26">
        <f t="shared" si="21"/>
        <v>-0.26403361152173921</v>
      </c>
      <c r="M57" s="27"/>
      <c r="N57" s="41"/>
      <c r="O57" s="29"/>
      <c r="P57" s="30"/>
    </row>
    <row r="58" spans="1:16" x14ac:dyDescent="0.2">
      <c r="A58" s="41" t="s">
        <v>112</v>
      </c>
      <c r="B58" s="19" t="s">
        <v>113</v>
      </c>
      <c r="C58" s="20">
        <v>44424</v>
      </c>
      <c r="D58" s="19">
        <v>2</v>
      </c>
      <c r="E58" s="21">
        <v>1.1735</v>
      </c>
      <c r="F58" s="19">
        <v>492</v>
      </c>
      <c r="G58" s="23">
        <f>(F58*D58)/E58</f>
        <v>838.51725607158073</v>
      </c>
      <c r="H58" s="51">
        <v>460</v>
      </c>
      <c r="I58" s="19">
        <v>0</v>
      </c>
      <c r="J58" s="21">
        <f>C135</f>
        <v>1.1717834544176235</v>
      </c>
      <c r="K58" s="23">
        <f t="shared" si="20"/>
        <v>-54.617600000000003</v>
      </c>
      <c r="L58" s="26">
        <f>(K58)/G58</f>
        <v>-6.5135928455284556E-2</v>
      </c>
      <c r="M58" s="27"/>
      <c r="N58" s="41"/>
      <c r="O58" s="29"/>
      <c r="P58" s="30"/>
    </row>
    <row r="59" spans="1:16" x14ac:dyDescent="0.2">
      <c r="A59" s="41" t="s">
        <v>114</v>
      </c>
      <c r="B59" s="19" t="s">
        <v>69</v>
      </c>
      <c r="C59" s="20">
        <v>44396</v>
      </c>
      <c r="D59" s="19">
        <v>33</v>
      </c>
      <c r="E59" s="21">
        <v>1.5044</v>
      </c>
      <c r="F59" s="19">
        <v>4</v>
      </c>
      <c r="G59" s="52">
        <v>0</v>
      </c>
      <c r="H59" s="51">
        <v>8</v>
      </c>
      <c r="I59" s="53">
        <v>0</v>
      </c>
      <c r="J59" s="54">
        <f>C136</f>
        <v>1.4832393948383269</v>
      </c>
      <c r="K59" s="52">
        <f>H59</f>
        <v>8</v>
      </c>
      <c r="L59" s="31" t="s">
        <v>59</v>
      </c>
      <c r="M59" s="27"/>
      <c r="N59" s="41"/>
      <c r="O59" s="29"/>
      <c r="P59" s="40"/>
    </row>
    <row r="60" spans="1:16" x14ac:dyDescent="0.2">
      <c r="A60" s="2" t="s">
        <v>115</v>
      </c>
      <c r="B60" s="3"/>
      <c r="C60" s="3"/>
      <c r="D60" s="3"/>
      <c r="E60" s="3"/>
      <c r="F60" s="4"/>
      <c r="G60" s="55"/>
      <c r="H60" s="56"/>
      <c r="I60" s="56"/>
      <c r="J60" s="56"/>
      <c r="K60" s="57"/>
      <c r="L60" s="8" t="s">
        <v>1</v>
      </c>
      <c r="M60" s="9">
        <f>SUM(K62:K71)</f>
        <v>586.69473481805665</v>
      </c>
      <c r="N60" s="10"/>
      <c r="O60" s="11"/>
      <c r="P60" s="12">
        <f>M60/E143</f>
        <v>8.3335270677830971E-3</v>
      </c>
    </row>
    <row r="61" spans="1:16" x14ac:dyDescent="0.2">
      <c r="A61" s="13" t="s">
        <v>2</v>
      </c>
      <c r="B61" s="13" t="s">
        <v>3</v>
      </c>
      <c r="C61" s="14" t="s">
        <v>4</v>
      </c>
      <c r="D61" s="13" t="s">
        <v>5</v>
      </c>
      <c r="E61" s="13" t="s">
        <v>6</v>
      </c>
      <c r="F61" s="13" t="s">
        <v>7</v>
      </c>
      <c r="G61" s="13" t="s">
        <v>8</v>
      </c>
      <c r="H61" s="15" t="s">
        <v>9</v>
      </c>
      <c r="I61" s="13" t="s">
        <v>10</v>
      </c>
      <c r="J61" s="13" t="s">
        <v>11</v>
      </c>
      <c r="K61" s="13" t="s">
        <v>12</v>
      </c>
      <c r="L61" s="13" t="s">
        <v>13</v>
      </c>
      <c r="M61" s="16" t="s">
        <v>14</v>
      </c>
      <c r="N61" s="17"/>
      <c r="O61" s="18"/>
      <c r="P61" s="16"/>
    </row>
    <row r="62" spans="1:16" x14ac:dyDescent="0.2">
      <c r="A62" s="19" t="s">
        <v>116</v>
      </c>
      <c r="B62" s="19" t="s">
        <v>117</v>
      </c>
      <c r="C62" s="20">
        <v>44249</v>
      </c>
      <c r="D62" s="19">
        <v>8</v>
      </c>
      <c r="E62" s="21">
        <v>1</v>
      </c>
      <c r="F62" s="58">
        <v>12.22</v>
      </c>
      <c r="G62" s="23">
        <f t="shared" ref="G62:G73" si="22">(F62*D62)/E62</f>
        <v>97.76</v>
      </c>
      <c r="H62" s="59">
        <f>[1]crypto!C8</f>
        <v>6.3714531384350819</v>
      </c>
      <c r="I62" s="19">
        <v>0</v>
      </c>
      <c r="J62" s="21">
        <v>1</v>
      </c>
      <c r="K62" s="23">
        <f t="shared" ref="K62:K67" si="23">((H62+I62)/J62)*D62</f>
        <v>50.971625107480655</v>
      </c>
      <c r="L62" s="26">
        <f t="shared" ref="L62:L67" si="24">(K62-G62)/G62</f>
        <v>-0.4786044894897642</v>
      </c>
      <c r="M62" s="27">
        <f t="shared" ref="M62:M67" si="25">K62-G62</f>
        <v>-46.78837489251935</v>
      </c>
      <c r="N62" s="41"/>
      <c r="O62" s="29"/>
      <c r="P62" s="30"/>
    </row>
    <row r="63" spans="1:16" x14ac:dyDescent="0.2">
      <c r="A63" s="19" t="s">
        <v>118</v>
      </c>
      <c r="B63" s="19" t="s">
        <v>119</v>
      </c>
      <c r="C63" s="20">
        <v>44264</v>
      </c>
      <c r="D63" s="19">
        <v>27</v>
      </c>
      <c r="E63" s="21">
        <v>1</v>
      </c>
      <c r="F63" s="58">
        <v>3.72</v>
      </c>
      <c r="G63" s="23">
        <f t="shared" si="22"/>
        <v>100.44000000000001</v>
      </c>
      <c r="H63" s="59">
        <f>[1]crypto!C9</f>
        <v>6.1479999999999997</v>
      </c>
      <c r="I63" s="19">
        <v>0</v>
      </c>
      <c r="J63" s="21">
        <v>1</v>
      </c>
      <c r="K63" s="23">
        <f t="shared" si="23"/>
        <v>165.99599999999998</v>
      </c>
      <c r="L63" s="31">
        <f t="shared" si="24"/>
        <v>0.65268817204301033</v>
      </c>
      <c r="M63" s="27">
        <f t="shared" si="25"/>
        <v>65.555999999999969</v>
      </c>
      <c r="N63" s="41"/>
      <c r="O63" s="29"/>
      <c r="P63" s="30"/>
    </row>
    <row r="64" spans="1:16" x14ac:dyDescent="0.2">
      <c r="A64" s="19" t="s">
        <v>120</v>
      </c>
      <c r="B64" s="19" t="s">
        <v>121</v>
      </c>
      <c r="C64" s="20">
        <v>44264</v>
      </c>
      <c r="D64" s="19">
        <v>1.1299999999999999</v>
      </c>
      <c r="E64" s="21">
        <v>1</v>
      </c>
      <c r="F64" s="58">
        <v>35.15</v>
      </c>
      <c r="G64" s="23">
        <f t="shared" si="22"/>
        <v>39.719499999999996</v>
      </c>
      <c r="H64" s="59">
        <f>[1]crypto!C10</f>
        <v>35.262252794496987</v>
      </c>
      <c r="I64" s="19">
        <v>0</v>
      </c>
      <c r="J64" s="21">
        <v>1</v>
      </c>
      <c r="K64" s="23">
        <f t="shared" si="23"/>
        <v>39.84634565778159</v>
      </c>
      <c r="L64" s="31">
        <f>(K64-G64)/G64</f>
        <v>3.1935361165572065E-3</v>
      </c>
      <c r="M64" s="27">
        <f t="shared" si="25"/>
        <v>0.12684565778159396</v>
      </c>
      <c r="N64" s="41"/>
      <c r="O64" s="29"/>
      <c r="P64" s="40" t="s">
        <v>122</v>
      </c>
    </row>
    <row r="65" spans="1:16" x14ac:dyDescent="0.2">
      <c r="A65" s="19" t="s">
        <v>123</v>
      </c>
      <c r="B65" s="19" t="s">
        <v>124</v>
      </c>
      <c r="C65" s="20">
        <v>44268</v>
      </c>
      <c r="D65" s="19">
        <v>4</v>
      </c>
      <c r="E65" s="21">
        <v>1</v>
      </c>
      <c r="F65" s="58">
        <v>27.49</v>
      </c>
      <c r="G65" s="23">
        <f t="shared" si="22"/>
        <v>109.96</v>
      </c>
      <c r="H65" s="59">
        <f>[1]crypto!C7</f>
        <v>16.924408</v>
      </c>
      <c r="I65" s="19">
        <v>0</v>
      </c>
      <c r="J65" s="21">
        <v>1</v>
      </c>
      <c r="K65" s="23">
        <f t="shared" si="23"/>
        <v>67.697631999999999</v>
      </c>
      <c r="L65" s="26">
        <f t="shared" si="24"/>
        <v>-0.38434310658421239</v>
      </c>
      <c r="M65" s="27">
        <f t="shared" si="25"/>
        <v>-42.262367999999995</v>
      </c>
      <c r="N65" s="41"/>
      <c r="O65" s="29"/>
      <c r="P65" s="30"/>
    </row>
    <row r="66" spans="1:16" x14ac:dyDescent="0.2">
      <c r="A66" s="19" t="s">
        <v>125</v>
      </c>
      <c r="B66" s="19" t="s">
        <v>126</v>
      </c>
      <c r="C66" s="20">
        <v>44270</v>
      </c>
      <c r="D66" s="19">
        <v>5.75</v>
      </c>
      <c r="E66" s="21">
        <v>1</v>
      </c>
      <c r="F66" s="58">
        <v>16.86</v>
      </c>
      <c r="G66" s="23">
        <f t="shared" si="22"/>
        <v>96.944999999999993</v>
      </c>
      <c r="H66" s="59">
        <f>[1]crypto!C11</f>
        <v>8.0414455999999994</v>
      </c>
      <c r="I66" s="19">
        <v>0</v>
      </c>
      <c r="J66" s="21">
        <v>1</v>
      </c>
      <c r="K66" s="23">
        <f t="shared" si="23"/>
        <v>46.238312199999996</v>
      </c>
      <c r="L66" s="26">
        <f t="shared" si="24"/>
        <v>-0.52304593119810205</v>
      </c>
      <c r="M66" s="27">
        <f t="shared" si="25"/>
        <v>-50.706687799999997</v>
      </c>
      <c r="N66" s="41"/>
      <c r="O66" s="29"/>
      <c r="P66" s="30"/>
    </row>
    <row r="67" spans="1:16" x14ac:dyDescent="0.2">
      <c r="A67" s="19" t="s">
        <v>127</v>
      </c>
      <c r="B67" s="19" t="s">
        <v>128</v>
      </c>
      <c r="C67" s="20">
        <v>44280</v>
      </c>
      <c r="D67" s="19">
        <v>13.25</v>
      </c>
      <c r="E67" s="21">
        <v>1</v>
      </c>
      <c r="F67" s="58">
        <v>3.14</v>
      </c>
      <c r="G67" s="23">
        <f t="shared" si="22"/>
        <v>41.605000000000004</v>
      </c>
      <c r="H67" s="59">
        <f>[1]crypto!C12</f>
        <v>3.4532976</v>
      </c>
      <c r="I67" s="19">
        <v>0</v>
      </c>
      <c r="J67" s="21">
        <v>1</v>
      </c>
      <c r="K67" s="23">
        <f t="shared" si="23"/>
        <v>45.756193199999998</v>
      </c>
      <c r="L67" s="31">
        <f t="shared" si="24"/>
        <v>9.977630573248393E-2</v>
      </c>
      <c r="M67" s="27">
        <f t="shared" si="25"/>
        <v>4.1511931999999945</v>
      </c>
      <c r="N67" s="41"/>
      <c r="O67" s="29"/>
      <c r="P67" s="40" t="s">
        <v>122</v>
      </c>
    </row>
    <row r="68" spans="1:16" x14ac:dyDescent="0.2">
      <c r="A68" s="19" t="s">
        <v>129</v>
      </c>
      <c r="B68" s="19" t="s">
        <v>130</v>
      </c>
      <c r="C68" s="20">
        <v>44309</v>
      </c>
      <c r="D68" s="19">
        <v>110</v>
      </c>
      <c r="E68" s="21">
        <v>1</v>
      </c>
      <c r="F68" s="58">
        <v>0.91</v>
      </c>
      <c r="G68" s="23">
        <f t="shared" si="22"/>
        <v>100.10000000000001</v>
      </c>
      <c r="H68" s="59">
        <f>[1]crypto!C13</f>
        <v>0.59896818572656918</v>
      </c>
      <c r="I68" s="19">
        <v>0</v>
      </c>
      <c r="J68" s="21">
        <v>1</v>
      </c>
      <c r="K68" s="23">
        <f>((H68+I68)/J68)*D68</f>
        <v>65.886500429922606</v>
      </c>
      <c r="L68" s="26">
        <f>(K68-G68)/G68</f>
        <v>-0.34179320249827572</v>
      </c>
      <c r="M68" s="27">
        <f>K68-G68</f>
        <v>-34.213499570077403</v>
      </c>
      <c r="N68" s="41"/>
      <c r="O68" s="29"/>
      <c r="P68" s="30"/>
    </row>
    <row r="69" spans="1:16" x14ac:dyDescent="0.2">
      <c r="A69" s="19" t="s">
        <v>131</v>
      </c>
      <c r="B69" s="19" t="s">
        <v>132</v>
      </c>
      <c r="C69" s="20">
        <v>44309</v>
      </c>
      <c r="D69" s="19">
        <v>3.6</v>
      </c>
      <c r="E69" s="21">
        <v>1</v>
      </c>
      <c r="F69" s="58">
        <v>27.78</v>
      </c>
      <c r="G69" s="23">
        <f t="shared" si="22"/>
        <v>100.00800000000001</v>
      </c>
      <c r="H69" s="59">
        <f>[1]crypto!C14</f>
        <v>10.799656061908861</v>
      </c>
      <c r="I69" s="19">
        <v>0</v>
      </c>
      <c r="J69" s="21">
        <v>1</v>
      </c>
      <c r="K69" s="23">
        <f>((H69+I69)/J69)*D69</f>
        <v>38.878761822871901</v>
      </c>
      <c r="L69" s="26">
        <f>(K69-G69)/G69</f>
        <v>-0.61124348229269765</v>
      </c>
      <c r="M69" s="27">
        <f>K69-G69</f>
        <v>-61.129238177128109</v>
      </c>
      <c r="N69" s="41"/>
      <c r="O69" s="29"/>
      <c r="P69" s="30"/>
    </row>
    <row r="70" spans="1:16" x14ac:dyDescent="0.2">
      <c r="A70" s="19" t="s">
        <v>133</v>
      </c>
      <c r="B70" s="19" t="s">
        <v>134</v>
      </c>
      <c r="C70" s="20">
        <v>44332</v>
      </c>
      <c r="D70" s="19">
        <v>21.5</v>
      </c>
      <c r="E70" s="21">
        <v>1</v>
      </c>
      <c r="F70" s="58">
        <v>4.51</v>
      </c>
      <c r="G70" s="23">
        <f t="shared" si="22"/>
        <v>96.964999999999989</v>
      </c>
      <c r="H70" s="59">
        <f>[1]crypto!C15</f>
        <v>2.1662216000000001</v>
      </c>
      <c r="I70" s="19">
        <v>0</v>
      </c>
      <c r="J70" s="21">
        <v>1</v>
      </c>
      <c r="K70" s="23">
        <f>((H70+I70)/J70)*D70</f>
        <v>46.573764400000002</v>
      </c>
      <c r="L70" s="26">
        <f>(K70-G70)/G70</f>
        <v>-0.51968478935698437</v>
      </c>
      <c r="M70" s="27">
        <f>K70-G70</f>
        <v>-50.391235599999987</v>
      </c>
      <c r="N70" s="41"/>
      <c r="O70" s="29"/>
      <c r="P70" s="30"/>
    </row>
    <row r="71" spans="1:16" x14ac:dyDescent="0.2">
      <c r="A71" s="19" t="s">
        <v>135</v>
      </c>
      <c r="B71" s="19" t="s">
        <v>136</v>
      </c>
      <c r="C71" s="20">
        <v>44332</v>
      </c>
      <c r="D71" s="19">
        <v>0.48</v>
      </c>
      <c r="E71" s="21">
        <v>1</v>
      </c>
      <c r="F71" s="25">
        <v>205.83</v>
      </c>
      <c r="G71" s="23">
        <f t="shared" si="22"/>
        <v>98.798400000000001</v>
      </c>
      <c r="H71" s="59">
        <f>[1]crypto!C16</f>
        <v>39.270000000000003</v>
      </c>
      <c r="I71" s="19">
        <v>0</v>
      </c>
      <c r="J71" s="21">
        <v>1</v>
      </c>
      <c r="K71" s="23">
        <f>((H71+I71)/J71)*D71</f>
        <v>18.849600000000002</v>
      </c>
      <c r="L71" s="26">
        <f>(K71-G71)/G71</f>
        <v>-0.8092114852062382</v>
      </c>
      <c r="M71" s="27">
        <f>K71-G71</f>
        <v>-79.948800000000006</v>
      </c>
      <c r="N71" s="41"/>
      <c r="O71" s="29"/>
      <c r="P71" s="30"/>
    </row>
    <row r="72" spans="1:16" x14ac:dyDescent="0.2">
      <c r="A72" s="19" t="s">
        <v>137</v>
      </c>
      <c r="B72" s="19" t="s">
        <v>138</v>
      </c>
      <c r="C72" s="20">
        <v>44447</v>
      </c>
      <c r="D72" s="19">
        <v>0.69</v>
      </c>
      <c r="E72" s="21">
        <v>1</v>
      </c>
      <c r="F72" s="25">
        <v>145</v>
      </c>
      <c r="G72" s="23">
        <f t="shared" si="22"/>
        <v>100.05</v>
      </c>
      <c r="H72" s="59">
        <f>[1]crypto!C17</f>
        <v>120.74</v>
      </c>
      <c r="I72" s="19">
        <v>0</v>
      </c>
      <c r="J72" s="21">
        <v>1</v>
      </c>
      <c r="K72" s="23">
        <f>((H72+I72)/J72)*D72</f>
        <v>83.310599999999994</v>
      </c>
      <c r="L72" s="26">
        <f t="shared" ref="L72:L73" si="26">(K72-G72)/G72</f>
        <v>-0.16731034482758625</v>
      </c>
      <c r="M72" s="27">
        <f t="shared" ref="M72:M73" si="27">K72-G72</f>
        <v>-16.739400000000003</v>
      </c>
      <c r="N72" s="41"/>
      <c r="O72" s="29"/>
      <c r="P72" s="30"/>
    </row>
    <row r="73" spans="1:16" x14ac:dyDescent="0.2">
      <c r="A73" s="19" t="s">
        <v>139</v>
      </c>
      <c r="B73" s="19" t="s">
        <v>140</v>
      </c>
      <c r="C73" s="20">
        <v>44447</v>
      </c>
      <c r="D73" s="19">
        <v>3.9E-2</v>
      </c>
      <c r="E73" s="21">
        <v>1</v>
      </c>
      <c r="F73" s="34">
        <v>2569</v>
      </c>
      <c r="G73" s="23">
        <f t="shared" si="22"/>
        <v>100.191</v>
      </c>
      <c r="H73" s="60">
        <f>[1]crypto!C18</f>
        <v>1961.487532244196</v>
      </c>
      <c r="I73" s="19">
        <v>0</v>
      </c>
      <c r="J73" s="21">
        <v>1</v>
      </c>
      <c r="K73" s="23">
        <f t="shared" ref="K73" si="28">((H73+I73)/J73)*D73</f>
        <v>76.498013757523651</v>
      </c>
      <c r="L73" s="26">
        <f t="shared" si="26"/>
        <v>-0.23647818908361382</v>
      </c>
      <c r="M73" s="27">
        <f t="shared" si="27"/>
        <v>-23.692986242476351</v>
      </c>
      <c r="N73" s="41"/>
      <c r="O73" s="29"/>
      <c r="P73" s="30"/>
    </row>
    <row r="74" spans="1:16" x14ac:dyDescent="0.2">
      <c r="A74" s="2" t="s">
        <v>141</v>
      </c>
      <c r="B74" s="3"/>
      <c r="C74" s="3"/>
      <c r="D74" s="3"/>
      <c r="E74" s="3"/>
      <c r="F74" s="4"/>
      <c r="G74" s="5"/>
      <c r="H74" s="6"/>
      <c r="I74" s="6"/>
      <c r="J74" s="6"/>
      <c r="K74" s="7"/>
      <c r="L74" s="8" t="s">
        <v>1</v>
      </c>
      <c r="M74" s="9">
        <f>SUM(K76:K103)</f>
        <v>14660.103191582417</v>
      </c>
      <c r="N74" s="10"/>
      <c r="O74" s="11"/>
      <c r="P74" s="12">
        <f>M74/P140</f>
        <v>0.2581607122634878</v>
      </c>
    </row>
    <row r="75" spans="1:16" x14ac:dyDescent="0.2">
      <c r="A75" s="13" t="s">
        <v>2</v>
      </c>
      <c r="B75" s="13" t="s">
        <v>3</v>
      </c>
      <c r="C75" s="14" t="s">
        <v>4</v>
      </c>
      <c r="D75" s="13" t="s">
        <v>5</v>
      </c>
      <c r="E75" s="13" t="s">
        <v>6</v>
      </c>
      <c r="F75" s="13" t="s">
        <v>7</v>
      </c>
      <c r="G75" s="13" t="s">
        <v>8</v>
      </c>
      <c r="H75" s="15" t="s">
        <v>9</v>
      </c>
      <c r="I75" s="13" t="s">
        <v>10</v>
      </c>
      <c r="J75" s="13" t="s">
        <v>11</v>
      </c>
      <c r="K75" s="13" t="s">
        <v>12</v>
      </c>
      <c r="L75" s="13" t="s">
        <v>13</v>
      </c>
      <c r="M75" s="16" t="s">
        <v>142</v>
      </c>
      <c r="N75" s="17" t="s">
        <v>143</v>
      </c>
      <c r="O75" s="61" t="s">
        <v>144</v>
      </c>
      <c r="P75" s="16" t="s">
        <v>145</v>
      </c>
    </row>
    <row r="76" spans="1:16" x14ac:dyDescent="0.2">
      <c r="A76" s="19" t="s">
        <v>146</v>
      </c>
      <c r="B76" s="19" t="s">
        <v>147</v>
      </c>
      <c r="C76" s="20">
        <v>43521</v>
      </c>
      <c r="D76" s="19">
        <v>10</v>
      </c>
      <c r="E76" s="21">
        <v>1.1399999999999999</v>
      </c>
      <c r="F76" s="22">
        <v>64.64</v>
      </c>
      <c r="G76" s="23">
        <f t="shared" si="0"/>
        <v>567.01754385964909</v>
      </c>
      <c r="H76" s="45">
        <f>'[1]auto data'!S3</f>
        <v>244.88</v>
      </c>
      <c r="I76" s="25">
        <f>[1]Dividend!P5</f>
        <v>10.969999999999999</v>
      </c>
      <c r="J76" s="21">
        <f>C135</f>
        <v>1.1717834544176235</v>
      </c>
      <c r="K76" s="23">
        <f t="shared" ref="K76:K87" si="29">((H76+I76)/J76)*D76</f>
        <v>2183.4239000000002</v>
      </c>
      <c r="L76" s="31">
        <f>(K76-G76)/G76+1</f>
        <v>3.8507166553217829</v>
      </c>
      <c r="M76" s="62">
        <f>249.88*(1-N76)</f>
        <v>187.41</v>
      </c>
      <c r="N76" s="63">
        <v>0.25</v>
      </c>
      <c r="O76" s="29" t="s">
        <v>148</v>
      </c>
      <c r="P76" s="64">
        <v>2</v>
      </c>
    </row>
    <row r="77" spans="1:16" x14ac:dyDescent="0.2">
      <c r="A77" s="19" t="s">
        <v>149</v>
      </c>
      <c r="B77" s="19" t="s">
        <v>150</v>
      </c>
      <c r="C77" s="20">
        <v>44152</v>
      </c>
      <c r="D77" s="19">
        <v>0.09</v>
      </c>
      <c r="E77" s="21">
        <v>1</v>
      </c>
      <c r="F77" s="19">
        <v>8472.34</v>
      </c>
      <c r="G77" s="23">
        <f t="shared" si="0"/>
        <v>762.51059999999995</v>
      </c>
      <c r="H77" s="46">
        <f>[1]crypto!C2</f>
        <v>36290.100700000003</v>
      </c>
      <c r="I77" s="19">
        <v>0</v>
      </c>
      <c r="J77" s="21">
        <v>1</v>
      </c>
      <c r="K77" s="23">
        <f t="shared" si="29"/>
        <v>3266.1090630000003</v>
      </c>
      <c r="L77" s="31">
        <f t="shared" ref="L77:L84" si="30">(K77-G77)/G77+1</f>
        <v>4.2833621762110585</v>
      </c>
      <c r="M77" s="62"/>
      <c r="N77" s="63"/>
      <c r="O77" s="29" t="s">
        <v>151</v>
      </c>
      <c r="P77" s="64">
        <v>1</v>
      </c>
    </row>
    <row r="78" spans="1:16" x14ac:dyDescent="0.2">
      <c r="A78" s="19" t="s">
        <v>152</v>
      </c>
      <c r="B78" s="19" t="s">
        <v>153</v>
      </c>
      <c r="C78" s="20">
        <v>43140</v>
      </c>
      <c r="D78" s="19">
        <v>20</v>
      </c>
      <c r="E78" s="21">
        <v>1.24</v>
      </c>
      <c r="F78" s="22">
        <v>13.5</v>
      </c>
      <c r="G78" s="23">
        <f t="shared" si="0"/>
        <v>217.74193548387098</v>
      </c>
      <c r="H78" s="45">
        <f>'[1]auto data'!S4</f>
        <v>9.4</v>
      </c>
      <c r="I78" s="19">
        <v>0</v>
      </c>
      <c r="J78" s="21">
        <f>C135</f>
        <v>1.1717834544176235</v>
      </c>
      <c r="K78" s="23">
        <f t="shared" si="29"/>
        <v>160.4392</v>
      </c>
      <c r="L78" s="31">
        <f>(K78-G78)/G78+1</f>
        <v>0.73683188148148138</v>
      </c>
      <c r="M78" s="62">
        <f>10.38*(1-N78)</f>
        <v>7.7850000000000001</v>
      </c>
      <c r="N78" s="63">
        <v>0.25</v>
      </c>
      <c r="O78" s="65" t="s">
        <v>154</v>
      </c>
      <c r="P78" s="64">
        <v>1</v>
      </c>
    </row>
    <row r="79" spans="1:16" x14ac:dyDescent="0.2">
      <c r="A79" s="66" t="s">
        <v>155</v>
      </c>
      <c r="B79" s="66" t="s">
        <v>107</v>
      </c>
      <c r="C79" s="67">
        <v>43187</v>
      </c>
      <c r="D79" s="19">
        <v>22</v>
      </c>
      <c r="E79" s="21">
        <v>1.24</v>
      </c>
      <c r="F79" s="68">
        <v>12.22</v>
      </c>
      <c r="G79" s="23">
        <f t="shared" si="0"/>
        <v>216.80645161290326</v>
      </c>
      <c r="H79" s="45">
        <f>'[1]auto data'!S6</f>
        <v>11.79</v>
      </c>
      <c r="I79" s="25">
        <f>[1]Dividend!P13</f>
        <v>1.0999999999999999E-2</v>
      </c>
      <c r="J79" s="21">
        <f>C135</f>
        <v>1.1717834544176235</v>
      </c>
      <c r="K79" s="23">
        <f t="shared" si="29"/>
        <v>221.56141479999999</v>
      </c>
      <c r="L79" s="31">
        <f t="shared" si="30"/>
        <v>1.0219318343698853</v>
      </c>
      <c r="M79" s="62"/>
      <c r="N79" s="63"/>
      <c r="O79" s="65" t="s">
        <v>154</v>
      </c>
      <c r="P79" s="64">
        <v>3</v>
      </c>
    </row>
    <row r="80" spans="1:16" x14ac:dyDescent="0.2">
      <c r="A80" s="19" t="s">
        <v>156</v>
      </c>
      <c r="B80" s="19" t="s">
        <v>157</v>
      </c>
      <c r="C80" s="20">
        <v>43102</v>
      </c>
      <c r="D80" s="69">
        <v>8</v>
      </c>
      <c r="E80" s="70">
        <v>1.24</v>
      </c>
      <c r="F80" s="25">
        <v>150</v>
      </c>
      <c r="G80" s="23">
        <f t="shared" ref="G80:G98" si="31">(F80*D80)/E80</f>
        <v>967.74193548387098</v>
      </c>
      <c r="H80" s="45">
        <f>'[1]auto data'!S8</f>
        <v>131.49</v>
      </c>
      <c r="I80" s="71">
        <f>[1]Dividend!P3</f>
        <v>3.5300000000000002</v>
      </c>
      <c r="J80" s="70">
        <f>C135</f>
        <v>1.1717834544176235</v>
      </c>
      <c r="K80" s="72">
        <f t="shared" si="29"/>
        <v>921.8085440000001</v>
      </c>
      <c r="L80" s="31">
        <f t="shared" si="30"/>
        <v>0.95253549546666672</v>
      </c>
      <c r="M80" s="62">
        <f>148.45*(1-N80)</f>
        <v>111.33749999999999</v>
      </c>
      <c r="N80" s="63">
        <v>0.25</v>
      </c>
      <c r="O80" s="65" t="s">
        <v>154</v>
      </c>
      <c r="P80" s="64">
        <v>5</v>
      </c>
    </row>
    <row r="81" spans="1:16" x14ac:dyDescent="0.2">
      <c r="A81" s="19" t="s">
        <v>158</v>
      </c>
      <c r="B81" s="19" t="s">
        <v>19</v>
      </c>
      <c r="C81" s="20">
        <v>43102</v>
      </c>
      <c r="D81" s="69">
        <v>50</v>
      </c>
      <c r="E81" s="70">
        <v>1.24</v>
      </c>
      <c r="F81" s="19">
        <v>5.03</v>
      </c>
      <c r="G81" s="23">
        <f t="shared" si="31"/>
        <v>202.82258064516128</v>
      </c>
      <c r="H81" s="45">
        <f>'[1]auto data'!S9</f>
        <v>5.92</v>
      </c>
      <c r="I81" s="71">
        <v>0</v>
      </c>
      <c r="J81" s="70">
        <f>C135</f>
        <v>1.1717834544176235</v>
      </c>
      <c r="K81" s="73">
        <f t="shared" si="29"/>
        <v>252.60640000000004</v>
      </c>
      <c r="L81" s="31">
        <f t="shared" si="30"/>
        <v>1.2454550139165013</v>
      </c>
      <c r="M81" s="62"/>
      <c r="N81" s="63"/>
      <c r="O81" s="65" t="s">
        <v>154</v>
      </c>
      <c r="P81" s="64">
        <v>6</v>
      </c>
    </row>
    <row r="82" spans="1:16" x14ac:dyDescent="0.2">
      <c r="A82" s="19" t="s">
        <v>159</v>
      </c>
      <c r="B82" s="19" t="s">
        <v>160</v>
      </c>
      <c r="C82" s="20">
        <v>43683</v>
      </c>
      <c r="D82" s="69">
        <v>33</v>
      </c>
      <c r="E82" s="70">
        <v>1.49</v>
      </c>
      <c r="F82" s="19">
        <v>4.6399999999999997</v>
      </c>
      <c r="G82" s="23">
        <f t="shared" si="31"/>
        <v>102.76510067114093</v>
      </c>
      <c r="H82" s="45">
        <f>'[1]auto data'!S10</f>
        <v>6.84</v>
      </c>
      <c r="I82" s="71">
        <f>[1]Dividend!P22</f>
        <v>4.9000000000000009E-2</v>
      </c>
      <c r="J82" s="70">
        <f>C136</f>
        <v>1.4832393948383269</v>
      </c>
      <c r="K82" s="73">
        <f t="shared" si="29"/>
        <v>153.27060540000002</v>
      </c>
      <c r="L82" s="31">
        <f t="shared" si="30"/>
        <v>1.4914655306034486</v>
      </c>
      <c r="M82" s="62"/>
      <c r="N82" s="63"/>
      <c r="O82" s="65" t="s">
        <v>154</v>
      </c>
      <c r="P82" s="64">
        <v>7</v>
      </c>
    </row>
    <row r="83" spans="1:16" x14ac:dyDescent="0.2">
      <c r="A83" s="19" t="s">
        <v>161</v>
      </c>
      <c r="B83" s="19" t="s">
        <v>162</v>
      </c>
      <c r="C83" s="20">
        <v>44155</v>
      </c>
      <c r="D83" s="19">
        <v>1</v>
      </c>
      <c r="E83" s="21">
        <v>1</v>
      </c>
      <c r="F83" s="19">
        <v>212</v>
      </c>
      <c r="G83" s="23">
        <f t="shared" si="31"/>
        <v>212</v>
      </c>
      <c r="H83" s="46">
        <f>[1]crypto!C3</f>
        <v>2495.7669999999998</v>
      </c>
      <c r="I83" s="19">
        <v>0</v>
      </c>
      <c r="J83" s="21">
        <v>1</v>
      </c>
      <c r="K83" s="23">
        <f t="shared" si="29"/>
        <v>2495.7669999999998</v>
      </c>
      <c r="L83" s="31">
        <f t="shared" si="30"/>
        <v>11.772485849056602</v>
      </c>
      <c r="M83" s="62"/>
      <c r="N83" s="63"/>
      <c r="O83" s="29" t="s">
        <v>151</v>
      </c>
      <c r="P83" s="64">
        <v>2</v>
      </c>
    </row>
    <row r="84" spans="1:16" x14ac:dyDescent="0.2">
      <c r="A84" s="19" t="s">
        <v>163</v>
      </c>
      <c r="B84" s="19" t="s">
        <v>164</v>
      </c>
      <c r="C84" s="20">
        <v>43994</v>
      </c>
      <c r="D84" s="19">
        <v>45</v>
      </c>
      <c r="E84" s="21">
        <v>1.1255999999999999</v>
      </c>
      <c r="F84" s="22">
        <v>5</v>
      </c>
      <c r="G84" s="23">
        <f t="shared" si="31"/>
        <v>199.89339019189768</v>
      </c>
      <c r="H84" s="39">
        <f>'[1]auto data'!S11</f>
        <v>6.18</v>
      </c>
      <c r="I84" s="19">
        <v>0</v>
      </c>
      <c r="J84" s="21">
        <f>C135</f>
        <v>1.1717834544176235</v>
      </c>
      <c r="K84" s="23">
        <f t="shared" si="29"/>
        <v>237.33053999999998</v>
      </c>
      <c r="L84" s="31">
        <f t="shared" si="30"/>
        <v>1.1872855814399998</v>
      </c>
      <c r="M84" s="62"/>
      <c r="N84" s="63"/>
      <c r="O84" s="29" t="s">
        <v>154</v>
      </c>
      <c r="P84" s="64">
        <v>8</v>
      </c>
    </row>
    <row r="85" spans="1:16" x14ac:dyDescent="0.2">
      <c r="A85" s="19" t="s">
        <v>165</v>
      </c>
      <c r="B85" s="19" t="s">
        <v>166</v>
      </c>
      <c r="C85" s="20">
        <v>44185</v>
      </c>
      <c r="D85" s="19">
        <v>175</v>
      </c>
      <c r="E85" s="21">
        <v>1</v>
      </c>
      <c r="F85" s="21">
        <v>0.3</v>
      </c>
      <c r="G85" s="23">
        <f t="shared" si="31"/>
        <v>52.5</v>
      </c>
      <c r="H85" s="74">
        <f>[1]crypto!C19</f>
        <v>0.58730000000000004</v>
      </c>
      <c r="I85" s="19">
        <v>0</v>
      </c>
      <c r="J85" s="21">
        <v>1</v>
      </c>
      <c r="K85" s="23">
        <f t="shared" si="29"/>
        <v>102.7775</v>
      </c>
      <c r="L85" s="31">
        <f>(K85-G85)/G85+1</f>
        <v>1.9576666666666669</v>
      </c>
      <c r="M85" s="62"/>
      <c r="N85" s="63"/>
      <c r="O85" s="29" t="s">
        <v>167</v>
      </c>
      <c r="P85" s="64">
        <v>1</v>
      </c>
    </row>
    <row r="86" spans="1:16" x14ac:dyDescent="0.2">
      <c r="A86" s="19" t="s">
        <v>168</v>
      </c>
      <c r="B86" s="19" t="s">
        <v>169</v>
      </c>
      <c r="C86" s="20">
        <v>44077</v>
      </c>
      <c r="D86" s="19">
        <v>350</v>
      </c>
      <c r="E86" s="21">
        <v>1.55</v>
      </c>
      <c r="F86" s="22">
        <v>0.48499999999999999</v>
      </c>
      <c r="G86" s="23">
        <f t="shared" si="31"/>
        <v>109.51612903225806</v>
      </c>
      <c r="H86" s="24">
        <f>'[1]auto data'!S12</f>
        <v>0.46</v>
      </c>
      <c r="I86" s="19">
        <v>0</v>
      </c>
      <c r="J86" s="21">
        <f>C136</f>
        <v>1.4832393948383269</v>
      </c>
      <c r="K86" s="23">
        <f t="shared" si="29"/>
        <v>108.54620000000001</v>
      </c>
      <c r="L86" s="31">
        <f>(K86-G86)/G86+1</f>
        <v>0.99114350515463934</v>
      </c>
      <c r="M86" s="62"/>
      <c r="N86" s="63"/>
      <c r="O86" s="75" t="s">
        <v>170</v>
      </c>
      <c r="P86" s="64">
        <v>6</v>
      </c>
    </row>
    <row r="87" spans="1:16" x14ac:dyDescent="0.2">
      <c r="A87" s="19" t="s">
        <v>171</v>
      </c>
      <c r="B87" s="19" t="s">
        <v>172</v>
      </c>
      <c r="C87" s="20">
        <v>44186</v>
      </c>
      <c r="D87" s="19">
        <v>375</v>
      </c>
      <c r="E87" s="21">
        <v>1</v>
      </c>
      <c r="F87" s="58">
        <v>0.13500000000000001</v>
      </c>
      <c r="G87" s="23">
        <f t="shared" si="31"/>
        <v>50.625</v>
      </c>
      <c r="H87" s="59">
        <f>[1]crypto!C20</f>
        <v>0.2407</v>
      </c>
      <c r="I87" s="19">
        <v>0</v>
      </c>
      <c r="J87" s="21">
        <v>1</v>
      </c>
      <c r="K87" s="23">
        <f t="shared" si="29"/>
        <v>90.262500000000003</v>
      </c>
      <c r="L87" s="31">
        <f>(K87-G87)/G87+1</f>
        <v>1.7829629629629631</v>
      </c>
      <c r="M87" s="62"/>
      <c r="N87" s="63"/>
      <c r="O87" s="75" t="s">
        <v>167</v>
      </c>
      <c r="P87" s="64">
        <v>2</v>
      </c>
    </row>
    <row r="88" spans="1:16" x14ac:dyDescent="0.2">
      <c r="A88" s="19" t="s">
        <v>173</v>
      </c>
      <c r="B88" s="19" t="s">
        <v>174</v>
      </c>
      <c r="C88" s="20">
        <v>44189</v>
      </c>
      <c r="D88" s="19">
        <v>138</v>
      </c>
      <c r="E88" s="21">
        <v>1</v>
      </c>
      <c r="F88" s="58">
        <v>0.25290000000000001</v>
      </c>
      <c r="G88" s="23">
        <f t="shared" si="31"/>
        <v>34.900200000000005</v>
      </c>
      <c r="H88" s="59">
        <f>[1]crypto!C21</f>
        <v>1.51</v>
      </c>
      <c r="I88" s="21">
        <v>2.4759000000000002</v>
      </c>
      <c r="J88" s="21">
        <v>1</v>
      </c>
      <c r="K88" s="23">
        <f>((H88/J88)*(D88+I88))</f>
        <v>212.11860899999999</v>
      </c>
      <c r="L88" s="31">
        <f t="shared" ref="L88:L105" si="32">(K88-G88)/G88</f>
        <v>5.0778622758608822</v>
      </c>
      <c r="M88" s="62"/>
      <c r="N88" s="63"/>
      <c r="O88" s="75" t="s">
        <v>167</v>
      </c>
      <c r="P88" s="64">
        <v>3</v>
      </c>
    </row>
    <row r="89" spans="1:16" x14ac:dyDescent="0.2">
      <c r="A89" s="19" t="s">
        <v>175</v>
      </c>
      <c r="B89" s="19" t="s">
        <v>107</v>
      </c>
      <c r="C89" s="20">
        <v>44033</v>
      </c>
      <c r="D89" s="19">
        <v>39</v>
      </c>
      <c r="E89" s="21">
        <v>1.1000000000000001</v>
      </c>
      <c r="F89" s="22">
        <v>8.92</v>
      </c>
      <c r="G89" s="23">
        <f t="shared" si="31"/>
        <v>316.25454545454545</v>
      </c>
      <c r="H89" s="24">
        <f>H79</f>
        <v>11.79</v>
      </c>
      <c r="I89" s="25">
        <f>I79</f>
        <v>1.0999999999999999E-2</v>
      </c>
      <c r="J89" s="19">
        <v>1.2079</v>
      </c>
      <c r="K89" s="23">
        <f t="shared" ref="K89:K105" si="33">((H89+I89)/J89)*D89</f>
        <v>381.02409139829456</v>
      </c>
      <c r="L89" s="31">
        <f t="shared" si="32"/>
        <v>0.20480194474567098</v>
      </c>
      <c r="M89" s="62"/>
      <c r="N89" s="63"/>
      <c r="O89" s="29" t="s">
        <v>176</v>
      </c>
      <c r="P89" s="76">
        <v>8</v>
      </c>
    </row>
    <row r="90" spans="1:16" x14ac:dyDescent="0.2">
      <c r="A90" s="19" t="s">
        <v>177</v>
      </c>
      <c r="B90" s="19" t="s">
        <v>178</v>
      </c>
      <c r="C90" s="20">
        <v>44206</v>
      </c>
      <c r="D90" s="19">
        <v>0.5</v>
      </c>
      <c r="E90" s="21">
        <v>1</v>
      </c>
      <c r="F90" s="25">
        <v>161.22999999999999</v>
      </c>
      <c r="G90" s="23">
        <f t="shared" si="31"/>
        <v>80.614999999999995</v>
      </c>
      <c r="H90" s="59">
        <f>[1]crypto!C22</f>
        <v>291.49491999999998</v>
      </c>
      <c r="I90" s="19">
        <v>0</v>
      </c>
      <c r="J90" s="21">
        <v>1</v>
      </c>
      <c r="K90" s="23">
        <f t="shared" si="33"/>
        <v>145.74745999999999</v>
      </c>
      <c r="L90" s="31">
        <f t="shared" si="32"/>
        <v>0.8079446753085654</v>
      </c>
      <c r="M90" s="62"/>
      <c r="N90" s="63"/>
      <c r="O90" s="75" t="s">
        <v>167</v>
      </c>
      <c r="P90" s="64">
        <v>4</v>
      </c>
    </row>
    <row r="91" spans="1:16" x14ac:dyDescent="0.2">
      <c r="A91" s="19" t="s">
        <v>179</v>
      </c>
      <c r="B91" s="19" t="s">
        <v>180</v>
      </c>
      <c r="C91" s="20">
        <v>44185</v>
      </c>
      <c r="D91" s="19">
        <v>4.5</v>
      </c>
      <c r="E91" s="21">
        <v>1</v>
      </c>
      <c r="F91" s="25">
        <v>10.95</v>
      </c>
      <c r="G91" s="23">
        <f t="shared" si="31"/>
        <v>49.274999999999999</v>
      </c>
      <c r="H91" s="59">
        <f>[1]crypto!C23</f>
        <v>19.82</v>
      </c>
      <c r="I91" s="19">
        <v>0</v>
      </c>
      <c r="J91" s="21">
        <v>1</v>
      </c>
      <c r="K91" s="23">
        <f t="shared" si="33"/>
        <v>89.19</v>
      </c>
      <c r="L91" s="31">
        <f t="shared" si="32"/>
        <v>0.81004566210045659</v>
      </c>
      <c r="M91" s="62"/>
      <c r="N91" s="63"/>
      <c r="O91" s="75" t="s">
        <v>167</v>
      </c>
      <c r="P91" s="64">
        <v>5</v>
      </c>
    </row>
    <row r="92" spans="1:16" x14ac:dyDescent="0.2">
      <c r="A92" s="19" t="s">
        <v>181</v>
      </c>
      <c r="B92" s="19" t="s">
        <v>182</v>
      </c>
      <c r="C92" s="20">
        <v>44197</v>
      </c>
      <c r="D92" s="19">
        <v>10</v>
      </c>
      <c r="E92" s="21">
        <v>1</v>
      </c>
      <c r="F92" s="58">
        <v>4.95</v>
      </c>
      <c r="G92" s="23">
        <f t="shared" si="31"/>
        <v>49.5</v>
      </c>
      <c r="H92" s="59">
        <f>[1]crypto!C24</f>
        <v>35.450000000000003</v>
      </c>
      <c r="I92" s="19">
        <v>9.8599999999999993E-2</v>
      </c>
      <c r="J92" s="21">
        <v>1</v>
      </c>
      <c r="K92" s="23">
        <f>((H92+I92)/J92)*D92</f>
        <v>355.48599999999999</v>
      </c>
      <c r="L92" s="31">
        <f t="shared" si="32"/>
        <v>6.1815353535353532</v>
      </c>
      <c r="M92" s="62"/>
      <c r="N92" s="63"/>
      <c r="O92" s="75" t="s">
        <v>167</v>
      </c>
      <c r="P92" s="64">
        <v>6</v>
      </c>
    </row>
    <row r="93" spans="1:16" x14ac:dyDescent="0.2">
      <c r="A93" s="19" t="s">
        <v>183</v>
      </c>
      <c r="B93" s="19" t="s">
        <v>184</v>
      </c>
      <c r="C93" s="20">
        <v>43102</v>
      </c>
      <c r="D93" s="19">
        <v>275</v>
      </c>
      <c r="E93" s="21">
        <v>1.51</v>
      </c>
      <c r="F93" s="22">
        <v>2.1800000000000002</v>
      </c>
      <c r="G93" s="23">
        <f t="shared" si="31"/>
        <v>397.01986754966885</v>
      </c>
      <c r="H93" s="45">
        <f>'[1]auto data'!S14</f>
        <v>4.55</v>
      </c>
      <c r="I93" s="19">
        <v>0</v>
      </c>
      <c r="J93" s="21">
        <f>C136</f>
        <v>1.4832393948383269</v>
      </c>
      <c r="K93" s="23">
        <f t="shared" si="33"/>
        <v>843.59274999999991</v>
      </c>
      <c r="L93" s="31">
        <f t="shared" si="32"/>
        <v>1.1248124311926604</v>
      </c>
      <c r="M93" s="62"/>
      <c r="N93" s="63"/>
      <c r="O93" s="29" t="s">
        <v>185</v>
      </c>
      <c r="P93" s="64">
        <v>1</v>
      </c>
    </row>
    <row r="94" spans="1:16" x14ac:dyDescent="0.2">
      <c r="A94" s="19" t="s">
        <v>186</v>
      </c>
      <c r="B94" s="19" t="s">
        <v>187</v>
      </c>
      <c r="C94" s="20">
        <v>43822</v>
      </c>
      <c r="D94" s="19">
        <v>190</v>
      </c>
      <c r="E94" s="21">
        <v>1.51</v>
      </c>
      <c r="F94" s="22">
        <v>1.18</v>
      </c>
      <c r="G94" s="23">
        <f t="shared" si="31"/>
        <v>148.47682119205297</v>
      </c>
      <c r="H94" s="45">
        <f>'[1]auto data'!T15</f>
        <v>4.9112904182735093</v>
      </c>
      <c r="I94" s="19">
        <v>0</v>
      </c>
      <c r="J94" s="21">
        <f>C136</f>
        <v>1.4832393948383269</v>
      </c>
      <c r="K94" s="23">
        <f t="shared" si="33"/>
        <v>629.12648000000002</v>
      </c>
      <c r="L94" s="31">
        <f t="shared" si="32"/>
        <v>3.2372033220338987</v>
      </c>
      <c r="M94" s="62"/>
      <c r="N94" s="63"/>
      <c r="O94" s="29" t="s">
        <v>185</v>
      </c>
      <c r="P94" s="64">
        <v>2</v>
      </c>
    </row>
    <row r="95" spans="1:16" x14ac:dyDescent="0.2">
      <c r="A95" s="19" t="s">
        <v>188</v>
      </c>
      <c r="B95" s="19" t="s">
        <v>189</v>
      </c>
      <c r="C95" s="20">
        <v>44238</v>
      </c>
      <c r="D95" s="19">
        <v>0.4</v>
      </c>
      <c r="E95" s="21">
        <v>1</v>
      </c>
      <c r="F95" s="58">
        <v>120.94</v>
      </c>
      <c r="G95" s="23">
        <f t="shared" si="31"/>
        <v>48.376000000000005</v>
      </c>
      <c r="H95" s="59">
        <f>[1]crypto!C25</f>
        <v>141.40732</v>
      </c>
      <c r="I95" s="19">
        <v>0</v>
      </c>
      <c r="J95" s="21">
        <v>1</v>
      </c>
      <c r="K95" s="23">
        <f t="shared" si="33"/>
        <v>56.562927999999999</v>
      </c>
      <c r="L95" s="31">
        <f t="shared" si="32"/>
        <v>0.1692353233008102</v>
      </c>
      <c r="M95" s="62"/>
      <c r="N95" s="63"/>
      <c r="O95" s="29" t="s">
        <v>167</v>
      </c>
      <c r="P95" s="64">
        <v>7</v>
      </c>
    </row>
    <row r="96" spans="1:16" x14ac:dyDescent="0.2">
      <c r="A96" s="19" t="s">
        <v>190</v>
      </c>
      <c r="B96" s="19" t="s">
        <v>191</v>
      </c>
      <c r="C96" s="20">
        <v>43374</v>
      </c>
      <c r="D96" s="19">
        <v>700</v>
      </c>
      <c r="E96" s="21">
        <v>1.1499999999999999</v>
      </c>
      <c r="F96" s="22">
        <v>0.66</v>
      </c>
      <c r="G96" s="23">
        <f t="shared" si="31"/>
        <v>401.73913043478262</v>
      </c>
      <c r="H96" s="45">
        <f>'[1]auto data'!S16</f>
        <v>1.64</v>
      </c>
      <c r="I96" s="19">
        <v>0</v>
      </c>
      <c r="J96" s="19">
        <v>1.2088000000000001</v>
      </c>
      <c r="K96" s="23">
        <f t="shared" si="33"/>
        <v>949.70218398411635</v>
      </c>
      <c r="L96" s="31">
        <f t="shared" si="32"/>
        <v>1.3639772977959606</v>
      </c>
      <c r="M96" s="62"/>
      <c r="N96" s="63"/>
      <c r="O96" s="29" t="s">
        <v>185</v>
      </c>
      <c r="P96" s="64">
        <v>3</v>
      </c>
    </row>
    <row r="97" spans="1:16" x14ac:dyDescent="0.2">
      <c r="A97" s="19" t="s">
        <v>192</v>
      </c>
      <c r="B97" s="19" t="s">
        <v>193</v>
      </c>
      <c r="C97" s="20">
        <v>43854</v>
      </c>
      <c r="D97" s="19">
        <v>50</v>
      </c>
      <c r="E97" s="21">
        <v>1.46</v>
      </c>
      <c r="F97" s="19">
        <v>3.71</v>
      </c>
      <c r="G97" s="23">
        <f t="shared" si="31"/>
        <v>127.05479452054794</v>
      </c>
      <c r="H97" s="45">
        <f>'[1]auto data'!S17</f>
        <v>8.23</v>
      </c>
      <c r="I97" s="19">
        <v>0</v>
      </c>
      <c r="J97" s="21">
        <f>C136</f>
        <v>1.4832393948383269</v>
      </c>
      <c r="K97" s="23">
        <f t="shared" si="33"/>
        <v>277.43330000000003</v>
      </c>
      <c r="L97" s="31">
        <f t="shared" si="32"/>
        <v>1.1835720646900272</v>
      </c>
      <c r="M97" s="62">
        <f>10.03*(1-N97)</f>
        <v>7.5224999999999991</v>
      </c>
      <c r="N97" s="63">
        <v>0.25</v>
      </c>
      <c r="O97" s="29" t="s">
        <v>194</v>
      </c>
      <c r="P97" s="76">
        <v>2</v>
      </c>
    </row>
    <row r="98" spans="1:16" x14ac:dyDescent="0.2">
      <c r="A98" s="19" t="s">
        <v>195</v>
      </c>
      <c r="B98" s="19" t="s">
        <v>196</v>
      </c>
      <c r="C98" s="20">
        <v>44229</v>
      </c>
      <c r="D98" s="19">
        <v>75</v>
      </c>
      <c r="E98" s="21">
        <v>1.2022999999999999</v>
      </c>
      <c r="F98" s="22">
        <v>1.74</v>
      </c>
      <c r="G98" s="23">
        <f t="shared" si="31"/>
        <v>108.54196124095485</v>
      </c>
      <c r="H98" s="45">
        <f>'[1]auto data'!S18</f>
        <v>2.93</v>
      </c>
      <c r="I98" s="19">
        <v>0</v>
      </c>
      <c r="J98" s="21">
        <f>C135</f>
        <v>1.1717834544176235</v>
      </c>
      <c r="K98" s="23">
        <f t="shared" si="33"/>
        <v>187.53465000000003</v>
      </c>
      <c r="L98" s="31">
        <f t="shared" si="32"/>
        <v>0.72776176011494265</v>
      </c>
      <c r="M98" s="27"/>
      <c r="N98" s="28"/>
      <c r="O98" s="29" t="s">
        <v>185</v>
      </c>
      <c r="P98" s="64">
        <v>4</v>
      </c>
    </row>
    <row r="99" spans="1:16" x14ac:dyDescent="0.2">
      <c r="A99" s="19" t="s">
        <v>197</v>
      </c>
      <c r="B99" s="19" t="s">
        <v>198</v>
      </c>
      <c r="C99" s="20">
        <v>44243</v>
      </c>
      <c r="D99" s="19">
        <v>0.7</v>
      </c>
      <c r="E99" s="21">
        <v>1</v>
      </c>
      <c r="F99" s="58">
        <v>35.270000000000003</v>
      </c>
      <c r="G99" s="23">
        <f>(F99*D99)/E99</f>
        <v>24.689</v>
      </c>
      <c r="H99" s="59">
        <f>[1]crypto!C26</f>
        <v>54.347959999999993</v>
      </c>
      <c r="I99" s="19">
        <v>0</v>
      </c>
      <c r="J99" s="21">
        <v>1</v>
      </c>
      <c r="K99" s="23">
        <f t="shared" si="33"/>
        <v>38.04357199999999</v>
      </c>
      <c r="L99" s="31">
        <f t="shared" si="32"/>
        <v>0.54091182307910368</v>
      </c>
      <c r="M99" s="27"/>
      <c r="N99" s="28"/>
      <c r="O99" s="29" t="s">
        <v>167</v>
      </c>
      <c r="P99" s="64">
        <v>8</v>
      </c>
    </row>
    <row r="100" spans="1:16" x14ac:dyDescent="0.2">
      <c r="A100" s="19" t="s">
        <v>199</v>
      </c>
      <c r="B100" s="19" t="s">
        <v>200</v>
      </c>
      <c r="C100" s="20">
        <v>44202</v>
      </c>
      <c r="D100" s="19">
        <v>0.4</v>
      </c>
      <c r="E100" s="21">
        <v>1</v>
      </c>
      <c r="F100" s="58">
        <v>135</v>
      </c>
      <c r="G100" s="23">
        <f>(F100*D100)/E100</f>
        <v>54</v>
      </c>
      <c r="H100" s="46">
        <f>[1]crypto!C4</f>
        <v>131.25960000000001</v>
      </c>
      <c r="I100" s="19">
        <v>0</v>
      </c>
      <c r="J100" s="21">
        <v>1</v>
      </c>
      <c r="K100" s="23">
        <f t="shared" si="33"/>
        <v>52.503840000000004</v>
      </c>
      <c r="L100" s="31">
        <f t="shared" si="32"/>
        <v>-2.7706666666666595E-2</v>
      </c>
      <c r="M100" s="27"/>
      <c r="N100" s="28"/>
      <c r="O100" s="29" t="s">
        <v>167</v>
      </c>
      <c r="P100" s="64">
        <v>9</v>
      </c>
    </row>
    <row r="101" spans="1:16" x14ac:dyDescent="0.2">
      <c r="A101" s="19" t="s">
        <v>201</v>
      </c>
      <c r="B101" s="19" t="s">
        <v>202</v>
      </c>
      <c r="C101" s="20">
        <v>44277</v>
      </c>
      <c r="D101" s="19">
        <v>0.11</v>
      </c>
      <c r="E101" s="21">
        <v>1</v>
      </c>
      <c r="F101" s="58">
        <v>439</v>
      </c>
      <c r="G101" s="23">
        <f>(F101*D101)/E101</f>
        <v>48.29</v>
      </c>
      <c r="H101" s="46">
        <f>[1]crypto!C5</f>
        <v>440.24599999999998</v>
      </c>
      <c r="I101" s="19">
        <v>0</v>
      </c>
      <c r="J101" s="21">
        <v>1</v>
      </c>
      <c r="K101" s="23">
        <f t="shared" si="33"/>
        <v>48.427059999999997</v>
      </c>
      <c r="L101" s="31">
        <f t="shared" si="32"/>
        <v>2.8382687927106685E-3</v>
      </c>
      <c r="M101" s="27"/>
      <c r="N101" s="28"/>
      <c r="O101" s="29" t="s">
        <v>167</v>
      </c>
      <c r="P101" s="64">
        <v>10</v>
      </c>
    </row>
    <row r="102" spans="1:16" x14ac:dyDescent="0.2">
      <c r="A102" s="19" t="s">
        <v>203</v>
      </c>
      <c r="B102" s="19" t="s">
        <v>204</v>
      </c>
      <c r="C102" s="20">
        <v>43874</v>
      </c>
      <c r="D102" s="19">
        <v>300</v>
      </c>
      <c r="E102" s="21">
        <v>1.44</v>
      </c>
      <c r="F102" s="19">
        <v>0.37</v>
      </c>
      <c r="G102" s="23">
        <f>(F102*D102)/E102</f>
        <v>77.083333333333343</v>
      </c>
      <c r="H102" s="46">
        <f>'[1]auto data'!P3</f>
        <v>0.49</v>
      </c>
      <c r="I102" s="19">
        <v>0</v>
      </c>
      <c r="J102" s="21">
        <f>C136</f>
        <v>1.4832393948383269</v>
      </c>
      <c r="K102" s="23">
        <f t="shared" si="33"/>
        <v>99.107399999999998</v>
      </c>
      <c r="L102" s="31">
        <f t="shared" si="32"/>
        <v>0.28571762162162145</v>
      </c>
      <c r="M102" s="27"/>
      <c r="N102" s="28"/>
      <c r="O102" s="29" t="s">
        <v>194</v>
      </c>
      <c r="P102" s="64">
        <v>3</v>
      </c>
    </row>
    <row r="103" spans="1:16" x14ac:dyDescent="0.2">
      <c r="A103" s="19" t="s">
        <v>205</v>
      </c>
      <c r="B103" s="19" t="s">
        <v>206</v>
      </c>
      <c r="C103" s="20">
        <v>44294</v>
      </c>
      <c r="D103" s="19">
        <v>50</v>
      </c>
      <c r="E103" s="21">
        <v>1</v>
      </c>
      <c r="F103" s="58">
        <v>1.03</v>
      </c>
      <c r="G103" s="23">
        <f>(F103*D103)/E103</f>
        <v>51.5</v>
      </c>
      <c r="H103" s="59">
        <f>[1]crypto!C6</f>
        <v>2.012</v>
      </c>
      <c r="I103" s="19">
        <v>0</v>
      </c>
      <c r="J103" s="21">
        <v>1</v>
      </c>
      <c r="K103" s="23">
        <f t="shared" si="33"/>
        <v>100.6</v>
      </c>
      <c r="L103" s="31">
        <f t="shared" si="32"/>
        <v>0.95339805825242707</v>
      </c>
      <c r="M103" s="27"/>
      <c r="N103" s="28"/>
      <c r="O103" s="29" t="s">
        <v>167</v>
      </c>
      <c r="P103" s="64">
        <v>11</v>
      </c>
    </row>
    <row r="104" spans="1:16" x14ac:dyDescent="0.2">
      <c r="A104" s="19" t="s">
        <v>207</v>
      </c>
      <c r="B104" s="19" t="s">
        <v>208</v>
      </c>
      <c r="C104" s="20">
        <v>44287</v>
      </c>
      <c r="D104" s="19">
        <v>750</v>
      </c>
      <c r="E104" s="21">
        <v>1.55</v>
      </c>
      <c r="F104" s="22">
        <v>0.37</v>
      </c>
      <c r="G104" s="23">
        <f t="shared" ref="G104:G108" si="34">(F104*D104)/E104</f>
        <v>179.03225806451613</v>
      </c>
      <c r="H104" s="45">
        <f>'[1]auto data'!S19</f>
        <v>0.83</v>
      </c>
      <c r="I104" s="19">
        <v>0</v>
      </c>
      <c r="J104" s="21">
        <f>C137</f>
        <v>1.614465611882467</v>
      </c>
      <c r="K104" s="23">
        <f t="shared" si="33"/>
        <v>385.57649999999995</v>
      </c>
      <c r="L104" s="31">
        <f t="shared" si="32"/>
        <v>1.1536705405405403</v>
      </c>
      <c r="M104" s="27"/>
      <c r="N104" s="28"/>
      <c r="O104" s="29" t="s">
        <v>185</v>
      </c>
      <c r="P104" s="64">
        <v>5</v>
      </c>
    </row>
    <row r="105" spans="1:16" x14ac:dyDescent="0.2">
      <c r="A105" s="19" t="s">
        <v>209</v>
      </c>
      <c r="B105" s="19" t="s">
        <v>210</v>
      </c>
      <c r="C105" s="20">
        <v>44229</v>
      </c>
      <c r="D105" s="19">
        <v>75</v>
      </c>
      <c r="E105" s="21">
        <v>1.55</v>
      </c>
      <c r="F105" s="22">
        <v>2</v>
      </c>
      <c r="G105" s="23">
        <f t="shared" si="34"/>
        <v>96.774193548387089</v>
      </c>
      <c r="H105" s="45">
        <f>'[1]auto data'!M3</f>
        <v>4.34</v>
      </c>
      <c r="I105" s="19">
        <v>0</v>
      </c>
      <c r="J105" s="21">
        <f>C136</f>
        <v>1.4832393948383269</v>
      </c>
      <c r="K105" s="23">
        <f t="shared" si="33"/>
        <v>219.4521</v>
      </c>
      <c r="L105" s="31">
        <f t="shared" si="32"/>
        <v>1.2676717000000002</v>
      </c>
      <c r="M105" s="27"/>
      <c r="N105" s="28"/>
      <c r="O105" s="29" t="s">
        <v>185</v>
      </c>
      <c r="P105" s="64">
        <v>6</v>
      </c>
    </row>
    <row r="106" spans="1:16" x14ac:dyDescent="0.2">
      <c r="A106" s="19" t="s">
        <v>211</v>
      </c>
      <c r="B106" s="19" t="s">
        <v>212</v>
      </c>
      <c r="C106" s="20">
        <v>44321</v>
      </c>
      <c r="D106" s="19">
        <v>2000</v>
      </c>
      <c r="E106" s="21">
        <v>1.5603</v>
      </c>
      <c r="F106" s="22">
        <v>0.14000000000000001</v>
      </c>
      <c r="G106" s="23">
        <f t="shared" si="34"/>
        <v>179.45266935845672</v>
      </c>
      <c r="H106" s="45">
        <f>'[1]auto data'!S20</f>
        <v>0.255</v>
      </c>
      <c r="I106" s="19">
        <v>0</v>
      </c>
      <c r="J106" s="21">
        <f>C137</f>
        <v>1.614465611882467</v>
      </c>
      <c r="K106" s="23">
        <f>((H106+I106)/J106)*D106</f>
        <v>315.89400000000001</v>
      </c>
      <c r="L106" s="31">
        <f>(K106-G106)/G106</f>
        <v>0.76031931499999994</v>
      </c>
      <c r="M106" s="27"/>
      <c r="N106" s="18"/>
      <c r="O106" s="64" t="s">
        <v>185</v>
      </c>
      <c r="P106" s="64">
        <v>7</v>
      </c>
    </row>
    <row r="107" spans="1:16" x14ac:dyDescent="0.2">
      <c r="A107" s="19" t="s">
        <v>213</v>
      </c>
      <c r="B107" s="19" t="s">
        <v>214</v>
      </c>
      <c r="C107" s="20">
        <v>44281</v>
      </c>
      <c r="D107" s="19">
        <v>2000</v>
      </c>
      <c r="E107" s="21">
        <v>1.55</v>
      </c>
      <c r="F107" s="22">
        <v>0.13</v>
      </c>
      <c r="G107" s="23">
        <f t="shared" si="34"/>
        <v>167.74193548387098</v>
      </c>
      <c r="H107" s="45">
        <f>'[1]auto data'!M7</f>
        <v>0.26500000000000001</v>
      </c>
      <c r="I107" s="19">
        <v>0</v>
      </c>
      <c r="J107" s="21">
        <f>C137</f>
        <v>1.614465611882467</v>
      </c>
      <c r="K107" s="23">
        <f t="shared" ref="K107" si="35">((H107+I107)/J107)*D107</f>
        <v>328.28200000000004</v>
      </c>
      <c r="L107" s="31">
        <f t="shared" ref="L107" si="36">(K107-G107)/G107</f>
        <v>0.95706576923076936</v>
      </c>
      <c r="M107" s="27"/>
      <c r="N107" s="18"/>
      <c r="O107" s="64" t="s">
        <v>185</v>
      </c>
      <c r="P107" s="64">
        <v>8</v>
      </c>
    </row>
    <row r="108" spans="1:16" x14ac:dyDescent="0.2">
      <c r="A108" s="19" t="s">
        <v>215</v>
      </c>
      <c r="B108" s="19" t="s">
        <v>216</v>
      </c>
      <c r="C108" s="20">
        <v>44321</v>
      </c>
      <c r="D108" s="19">
        <v>1500</v>
      </c>
      <c r="E108" s="21">
        <v>1.4799</v>
      </c>
      <c r="F108" s="22">
        <v>0.1</v>
      </c>
      <c r="G108" s="23">
        <f t="shared" si="34"/>
        <v>101.35819987837016</v>
      </c>
      <c r="H108" s="45">
        <f>'[1]auto data'!M10</f>
        <v>0.13</v>
      </c>
      <c r="I108" s="19">
        <v>0</v>
      </c>
      <c r="J108" s="21">
        <f>C136</f>
        <v>1.4832393948383269</v>
      </c>
      <c r="K108" s="23">
        <f>((H108+I108)/J108)*D108</f>
        <v>131.46899999999999</v>
      </c>
      <c r="L108" s="31">
        <f>(K108-G108)/G108</f>
        <v>0.29707315399999995</v>
      </c>
      <c r="M108" s="27"/>
      <c r="N108" s="18"/>
      <c r="O108" s="64" t="s">
        <v>185</v>
      </c>
      <c r="P108" s="64">
        <v>9</v>
      </c>
    </row>
    <row r="109" spans="1:16" x14ac:dyDescent="0.2">
      <c r="A109" s="77" t="s">
        <v>217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9"/>
    </row>
    <row r="110" spans="1:16" x14ac:dyDescent="0.2">
      <c r="A110" s="80" t="s">
        <v>218</v>
      </c>
      <c r="B110" s="13" t="s">
        <v>219</v>
      </c>
      <c r="C110" s="14" t="s">
        <v>220</v>
      </c>
      <c r="D110" s="13"/>
      <c r="E110" s="81"/>
      <c r="F110" s="82"/>
      <c r="G110" s="83"/>
      <c r="H110" s="84"/>
      <c r="I110" s="13"/>
      <c r="J110" s="81"/>
      <c r="K110" s="83" t="s">
        <v>221</v>
      </c>
      <c r="L110" s="31"/>
      <c r="M110" s="27"/>
      <c r="N110" s="28"/>
      <c r="O110" s="29"/>
      <c r="P110" s="64"/>
    </row>
    <row r="111" spans="1:16" x14ac:dyDescent="0.2">
      <c r="A111" s="13" t="s">
        <v>222</v>
      </c>
      <c r="B111" s="19"/>
      <c r="C111" s="20"/>
      <c r="D111" s="69"/>
      <c r="E111" s="70"/>
      <c r="F111" s="19"/>
      <c r="G111" s="34"/>
      <c r="H111" s="25"/>
      <c r="I111" s="71"/>
      <c r="J111" s="70"/>
      <c r="K111" s="23">
        <v>8467</v>
      </c>
      <c r="L111" s="85"/>
      <c r="M111" s="64"/>
      <c r="N111" s="28"/>
      <c r="O111" s="29"/>
      <c r="P111" s="64"/>
    </row>
    <row r="112" spans="1:16" x14ac:dyDescent="0.2">
      <c r="A112" s="13" t="s">
        <v>223</v>
      </c>
      <c r="B112" s="19"/>
      <c r="C112" s="20"/>
      <c r="D112" s="69"/>
      <c r="E112" s="70"/>
      <c r="F112" s="19"/>
      <c r="G112" s="34"/>
      <c r="H112" s="25"/>
      <c r="I112" s="71"/>
      <c r="J112" s="70"/>
      <c r="K112" s="23">
        <v>10556</v>
      </c>
      <c r="L112" s="85"/>
      <c r="M112" s="64"/>
      <c r="N112" s="28"/>
      <c r="O112" s="29"/>
      <c r="P112" s="30"/>
    </row>
    <row r="113" spans="1:16" x14ac:dyDescent="0.2">
      <c r="A113" s="13" t="s">
        <v>224</v>
      </c>
      <c r="B113" s="19"/>
      <c r="C113" s="20"/>
      <c r="D113" s="19"/>
      <c r="E113" s="21"/>
      <c r="F113" s="22"/>
      <c r="G113" s="23"/>
      <c r="H113" s="86"/>
      <c r="I113" s="25"/>
      <c r="J113" s="21"/>
      <c r="K113" s="23">
        <f>2938+105</f>
        <v>3043</v>
      </c>
      <c r="L113" s="31"/>
      <c r="M113" s="27"/>
      <c r="N113" s="28"/>
      <c r="O113" s="29"/>
      <c r="P113" s="30"/>
    </row>
    <row r="114" spans="1:16" x14ac:dyDescent="0.2">
      <c r="A114" s="19" t="s">
        <v>225</v>
      </c>
      <c r="B114" s="19" t="s">
        <v>226</v>
      </c>
      <c r="C114" s="20">
        <v>44378</v>
      </c>
      <c r="D114" s="19"/>
      <c r="E114" s="21"/>
      <c r="F114" s="22"/>
      <c r="G114" s="23"/>
      <c r="H114" s="86"/>
      <c r="I114" s="19"/>
      <c r="J114" s="21"/>
      <c r="K114" s="23">
        <v>-76</v>
      </c>
      <c r="L114" s="87"/>
      <c r="M114" s="27"/>
      <c r="N114" s="28"/>
      <c r="O114" s="29"/>
      <c r="P114" s="30"/>
    </row>
    <row r="115" spans="1:16" x14ac:dyDescent="0.2">
      <c r="A115" s="19" t="s">
        <v>227</v>
      </c>
      <c r="B115" s="19" t="s">
        <v>228</v>
      </c>
      <c r="C115" s="20">
        <v>44396</v>
      </c>
      <c r="D115" s="19"/>
      <c r="E115" s="21"/>
      <c r="F115" s="22"/>
      <c r="G115" s="23"/>
      <c r="H115" s="86"/>
      <c r="I115" s="19"/>
      <c r="J115" s="21"/>
      <c r="K115" s="23">
        <v>-169</v>
      </c>
      <c r="L115" s="87"/>
      <c r="M115" s="27"/>
      <c r="N115" s="28"/>
      <c r="O115" s="29"/>
      <c r="P115" s="30"/>
    </row>
    <row r="116" spans="1:16" x14ac:dyDescent="0.2">
      <c r="A116" s="19" t="s">
        <v>229</v>
      </c>
      <c r="B116" s="19" t="s">
        <v>230</v>
      </c>
      <c r="C116" s="20">
        <v>44396</v>
      </c>
      <c r="D116" s="19"/>
      <c r="E116" s="21"/>
      <c r="F116" s="22"/>
      <c r="G116" s="23"/>
      <c r="H116" s="86"/>
      <c r="I116" s="19"/>
      <c r="J116" s="21"/>
      <c r="K116" s="23">
        <v>-114</v>
      </c>
      <c r="L116" s="87"/>
      <c r="M116" s="27"/>
      <c r="N116" s="28"/>
      <c r="O116" s="29"/>
      <c r="P116" s="30"/>
    </row>
    <row r="117" spans="1:16" x14ac:dyDescent="0.2">
      <c r="A117" s="19" t="s">
        <v>231</v>
      </c>
      <c r="B117" s="19" t="s">
        <v>89</v>
      </c>
      <c r="C117" s="20">
        <v>44403</v>
      </c>
      <c r="D117" s="19"/>
      <c r="E117" s="21"/>
      <c r="F117" s="22"/>
      <c r="G117" s="23"/>
      <c r="H117" s="88"/>
      <c r="I117" s="19"/>
      <c r="J117" s="21"/>
      <c r="K117" s="23">
        <v>14</v>
      </c>
      <c r="L117" s="31"/>
      <c r="M117" s="27"/>
      <c r="N117" s="28"/>
      <c r="O117" s="29"/>
      <c r="P117" s="30"/>
    </row>
    <row r="118" spans="1:16" x14ac:dyDescent="0.2">
      <c r="A118" s="19" t="s">
        <v>232</v>
      </c>
      <c r="B118" s="19" t="s">
        <v>91</v>
      </c>
      <c r="C118" s="20">
        <v>44403</v>
      </c>
      <c r="D118" s="19"/>
      <c r="E118" s="21"/>
      <c r="F118" s="22"/>
      <c r="G118" s="23"/>
      <c r="H118" s="88"/>
      <c r="I118" s="19"/>
      <c r="J118" s="21"/>
      <c r="K118" s="23">
        <v>19</v>
      </c>
      <c r="L118" s="31"/>
      <c r="M118" s="27"/>
      <c r="N118" s="28"/>
      <c r="O118" s="29"/>
      <c r="P118" s="30"/>
    </row>
    <row r="119" spans="1:16" x14ac:dyDescent="0.2">
      <c r="A119" s="19" t="s">
        <v>233</v>
      </c>
      <c r="B119" s="19" t="s">
        <v>25</v>
      </c>
      <c r="C119" s="20">
        <v>44405</v>
      </c>
      <c r="D119" s="19"/>
      <c r="E119" s="21"/>
      <c r="F119" s="22"/>
      <c r="G119" s="23"/>
      <c r="H119" s="86"/>
      <c r="I119" s="25"/>
      <c r="J119" s="21"/>
      <c r="K119" s="23">
        <v>62</v>
      </c>
      <c r="L119" s="31"/>
      <c r="M119" s="27"/>
      <c r="N119" s="28"/>
      <c r="O119" s="29"/>
      <c r="P119" s="30"/>
    </row>
    <row r="120" spans="1:16" x14ac:dyDescent="0.2">
      <c r="A120" s="19" t="s">
        <v>234</v>
      </c>
      <c r="B120" s="19" t="s">
        <v>235</v>
      </c>
      <c r="C120" s="20">
        <v>44428</v>
      </c>
      <c r="D120" s="19"/>
      <c r="E120" s="21"/>
      <c r="F120" s="22"/>
      <c r="G120" s="23"/>
      <c r="H120" s="86"/>
      <c r="I120" s="25"/>
      <c r="J120" s="21"/>
      <c r="K120" s="23">
        <v>-174</v>
      </c>
      <c r="L120" s="31"/>
      <c r="M120" s="27"/>
      <c r="N120" s="28"/>
      <c r="O120" s="29"/>
      <c r="P120" s="30"/>
    </row>
    <row r="121" spans="1:16" x14ac:dyDescent="0.2">
      <c r="A121" s="19" t="s">
        <v>236</v>
      </c>
      <c r="B121" s="19" t="s">
        <v>237</v>
      </c>
      <c r="C121" s="20">
        <v>44428</v>
      </c>
      <c r="D121" s="19"/>
      <c r="E121" s="21"/>
      <c r="F121" s="22"/>
      <c r="G121" s="23"/>
      <c r="H121" s="86"/>
      <c r="I121" s="25"/>
      <c r="J121" s="21"/>
      <c r="K121" s="23">
        <v>153</v>
      </c>
      <c r="L121" s="31"/>
      <c r="M121" s="27"/>
      <c r="N121" s="28"/>
      <c r="O121" s="29"/>
      <c r="P121" s="30"/>
    </row>
    <row r="122" spans="1:16" x14ac:dyDescent="0.2">
      <c r="A122" s="19" t="s">
        <v>238</v>
      </c>
      <c r="B122" s="19" t="s">
        <v>239</v>
      </c>
      <c r="C122" s="20">
        <v>44428</v>
      </c>
      <c r="D122" s="19"/>
      <c r="E122" s="21"/>
      <c r="F122" s="22"/>
      <c r="G122" s="23"/>
      <c r="H122" s="86"/>
      <c r="I122" s="25"/>
      <c r="J122" s="21"/>
      <c r="K122" s="23">
        <v>188</v>
      </c>
      <c r="L122" s="31"/>
      <c r="M122" s="27"/>
      <c r="N122" s="28"/>
      <c r="O122" s="29"/>
      <c r="P122" s="30"/>
    </row>
    <row r="123" spans="1:16" x14ac:dyDescent="0.2">
      <c r="A123" s="19" t="s">
        <v>231</v>
      </c>
      <c r="B123" s="19" t="s">
        <v>89</v>
      </c>
      <c r="C123" s="20">
        <v>44431</v>
      </c>
      <c r="D123" s="19"/>
      <c r="E123" s="21"/>
      <c r="F123" s="22"/>
      <c r="G123" s="23"/>
      <c r="H123" s="86"/>
      <c r="I123" s="25"/>
      <c r="J123" s="21"/>
      <c r="K123" s="23">
        <v>6</v>
      </c>
      <c r="L123" s="31"/>
      <c r="M123" s="27"/>
      <c r="N123" s="28"/>
      <c r="O123" s="29"/>
      <c r="P123" s="30"/>
    </row>
    <row r="124" spans="1:16" x14ac:dyDescent="0.2">
      <c r="A124" s="19" t="s">
        <v>240</v>
      </c>
      <c r="B124" s="19" t="s">
        <v>95</v>
      </c>
      <c r="C124" s="20">
        <v>44441</v>
      </c>
      <c r="D124" s="19"/>
      <c r="E124" s="21"/>
      <c r="F124" s="22"/>
      <c r="G124" s="23"/>
      <c r="H124" s="89"/>
      <c r="I124" s="25"/>
      <c r="J124" s="21"/>
      <c r="K124" s="23">
        <v>17</v>
      </c>
      <c r="L124" s="31"/>
      <c r="M124" s="27"/>
      <c r="N124" s="28"/>
      <c r="O124" s="29"/>
      <c r="P124" s="90"/>
    </row>
    <row r="125" spans="1:16" x14ac:dyDescent="0.2">
      <c r="A125" s="19" t="s">
        <v>241</v>
      </c>
      <c r="B125" s="19" t="s">
        <v>208</v>
      </c>
      <c r="C125" s="20">
        <v>44442</v>
      </c>
      <c r="D125" s="19"/>
      <c r="E125" s="21"/>
      <c r="F125" s="22"/>
      <c r="G125" s="23"/>
      <c r="H125" s="89"/>
      <c r="I125" s="25"/>
      <c r="J125" s="21"/>
      <c r="K125" s="23">
        <v>180</v>
      </c>
      <c r="L125" s="31"/>
      <c r="M125" s="27"/>
      <c r="N125" s="28"/>
      <c r="O125" s="29"/>
      <c r="P125" s="30"/>
    </row>
    <row r="126" spans="1:16" x14ac:dyDescent="0.2">
      <c r="A126" s="19" t="s">
        <v>242</v>
      </c>
      <c r="B126" s="19" t="s">
        <v>210</v>
      </c>
      <c r="C126" s="20">
        <v>44442</v>
      </c>
      <c r="D126" s="19"/>
      <c r="E126" s="21"/>
      <c r="F126" s="22"/>
      <c r="G126" s="23"/>
      <c r="H126" s="89"/>
      <c r="I126" s="25"/>
      <c r="J126" s="21"/>
      <c r="K126" s="23">
        <v>105</v>
      </c>
      <c r="L126" s="31"/>
      <c r="M126" s="27"/>
      <c r="N126" s="91"/>
      <c r="O126" s="92"/>
      <c r="P126" s="90"/>
    </row>
    <row r="127" spans="1:16" x14ac:dyDescent="0.2">
      <c r="A127" s="19" t="s">
        <v>243</v>
      </c>
      <c r="B127" s="19" t="s">
        <v>212</v>
      </c>
      <c r="C127" s="20">
        <v>44453</v>
      </c>
      <c r="D127" s="19"/>
      <c r="E127" s="21"/>
      <c r="F127" s="22"/>
      <c r="G127" s="23"/>
      <c r="H127" s="89"/>
      <c r="I127" s="25"/>
      <c r="J127" s="21"/>
      <c r="K127" s="23">
        <v>183</v>
      </c>
      <c r="L127" s="31"/>
      <c r="M127" s="27"/>
      <c r="N127" s="28"/>
      <c r="O127" s="29"/>
      <c r="P127" s="30"/>
    </row>
    <row r="128" spans="1:16" x14ac:dyDescent="0.2">
      <c r="A128" s="19" t="s">
        <v>244</v>
      </c>
      <c r="B128" s="19" t="s">
        <v>214</v>
      </c>
      <c r="C128" s="20">
        <v>44452</v>
      </c>
      <c r="D128" s="19"/>
      <c r="E128" s="21"/>
      <c r="F128" s="22"/>
      <c r="G128" s="23"/>
      <c r="H128" s="89"/>
      <c r="I128" s="25"/>
      <c r="J128" s="21"/>
      <c r="K128" s="23">
        <v>199</v>
      </c>
      <c r="L128" s="31"/>
      <c r="M128" s="27"/>
      <c r="N128" s="28"/>
      <c r="O128" s="29"/>
      <c r="P128" s="30"/>
    </row>
    <row r="129" spans="1:16" x14ac:dyDescent="0.2">
      <c r="A129" s="19" t="s">
        <v>245</v>
      </c>
      <c r="B129" s="19" t="s">
        <v>216</v>
      </c>
      <c r="C129" s="20">
        <v>44453</v>
      </c>
      <c r="D129" s="19"/>
      <c r="E129" s="21"/>
      <c r="F129" s="22"/>
      <c r="G129" s="23"/>
      <c r="H129" s="89"/>
      <c r="I129" s="25"/>
      <c r="J129" s="21"/>
      <c r="K129" s="23">
        <v>105</v>
      </c>
      <c r="L129" s="31"/>
      <c r="M129" s="27"/>
      <c r="N129" s="28"/>
      <c r="O129" s="29"/>
      <c r="P129" s="30"/>
    </row>
    <row r="130" spans="1:16" x14ac:dyDescent="0.2">
      <c r="A130" s="19" t="s">
        <v>246</v>
      </c>
      <c r="B130" s="19" t="s">
        <v>247</v>
      </c>
      <c r="C130" s="20">
        <v>44453</v>
      </c>
      <c r="D130" s="19"/>
      <c r="E130" s="21"/>
      <c r="F130" s="22"/>
      <c r="G130" s="23"/>
      <c r="H130" s="89"/>
      <c r="I130" s="25"/>
      <c r="J130" s="21"/>
      <c r="K130" s="23">
        <v>-102.77</v>
      </c>
      <c r="L130" s="31"/>
      <c r="M130" s="27"/>
      <c r="N130" s="28"/>
      <c r="O130" s="29"/>
      <c r="P130" s="30"/>
    </row>
    <row r="131" spans="1:16" x14ac:dyDescent="0.2">
      <c r="A131" s="19" t="s">
        <v>248</v>
      </c>
      <c r="B131" s="19" t="s">
        <v>249</v>
      </c>
      <c r="C131" s="20">
        <v>44453</v>
      </c>
      <c r="D131" s="19"/>
      <c r="E131" s="21"/>
      <c r="F131" s="22"/>
      <c r="G131" s="23"/>
      <c r="H131" s="89"/>
      <c r="I131" s="25"/>
      <c r="J131" s="21"/>
      <c r="K131" s="23">
        <v>-112</v>
      </c>
      <c r="L131" s="31"/>
      <c r="M131" s="27"/>
      <c r="N131" s="28"/>
      <c r="O131" s="29"/>
      <c r="P131" s="30"/>
    </row>
    <row r="132" spans="1:16" x14ac:dyDescent="0.2">
      <c r="A132" s="19" t="s">
        <v>250</v>
      </c>
      <c r="B132" s="19" t="s">
        <v>85</v>
      </c>
      <c r="C132" s="20">
        <v>44456</v>
      </c>
      <c r="D132" s="19"/>
      <c r="E132" s="21"/>
      <c r="F132" s="22"/>
      <c r="G132" s="23"/>
      <c r="H132" s="89"/>
      <c r="I132" s="25"/>
      <c r="J132" s="21"/>
      <c r="K132" s="23">
        <v>151</v>
      </c>
      <c r="L132" s="31"/>
      <c r="M132" s="27"/>
      <c r="N132" s="28"/>
      <c r="O132" s="29"/>
      <c r="P132" s="30"/>
    </row>
    <row r="133" spans="1:16" x14ac:dyDescent="0.2">
      <c r="A133" s="19"/>
      <c r="B133" s="19"/>
      <c r="C133" s="20"/>
      <c r="D133" s="19"/>
      <c r="E133" s="21"/>
      <c r="F133" s="22"/>
      <c r="G133" s="23"/>
      <c r="H133" s="89"/>
      <c r="I133" s="25"/>
      <c r="J133" s="21"/>
      <c r="K133" s="23"/>
      <c r="L133" s="31"/>
      <c r="M133" s="27"/>
      <c r="N133" s="18"/>
      <c r="O133" s="18"/>
      <c r="P133" s="18"/>
    </row>
    <row r="134" spans="1:16" x14ac:dyDescent="0.2">
      <c r="A134" s="77" t="s">
        <v>251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93"/>
      <c r="O134" s="94"/>
      <c r="P134" s="95"/>
    </row>
    <row r="135" spans="1:16" x14ac:dyDescent="0.2">
      <c r="A135" s="19" t="s">
        <v>252</v>
      </c>
      <c r="B135" s="19" t="s">
        <v>253</v>
      </c>
      <c r="C135" s="96">
        <f>'[1]auto data'!D3</f>
        <v>1.1717834544176235</v>
      </c>
      <c r="D135" s="19"/>
      <c r="E135" s="19"/>
      <c r="F135" s="97"/>
      <c r="G135" s="19"/>
      <c r="H135" s="88"/>
      <c r="I135" s="19"/>
      <c r="J135" s="98"/>
      <c r="K135" s="19"/>
      <c r="L135" s="19"/>
      <c r="M135" s="64"/>
      <c r="N135" s="41"/>
      <c r="O135" s="75"/>
      <c r="P135" s="64"/>
    </row>
    <row r="136" spans="1:16" x14ac:dyDescent="0.2">
      <c r="A136" s="19" t="s">
        <v>254</v>
      </c>
      <c r="B136" s="19" t="s">
        <v>255</v>
      </c>
      <c r="C136" s="96">
        <f>'[1]auto data'!D4</f>
        <v>1.4832393948383269</v>
      </c>
      <c r="D136" s="19"/>
      <c r="E136" s="19"/>
      <c r="F136" s="19"/>
      <c r="G136" s="19"/>
      <c r="H136" s="19"/>
      <c r="I136" s="19"/>
      <c r="J136" s="98"/>
      <c r="K136" s="19"/>
      <c r="L136" s="19"/>
      <c r="M136" s="64"/>
      <c r="N136" s="41"/>
      <c r="O136" s="75"/>
      <c r="P136" s="64"/>
    </row>
    <row r="137" spans="1:16" x14ac:dyDescent="0.2">
      <c r="A137" s="19" t="s">
        <v>256</v>
      </c>
      <c r="B137" s="19" t="s">
        <v>257</v>
      </c>
      <c r="C137" s="96">
        <f>'[1]auto data'!D5</f>
        <v>1.614465611882467</v>
      </c>
      <c r="D137" s="19"/>
      <c r="E137" s="19"/>
      <c r="F137" s="19"/>
      <c r="G137" s="19"/>
      <c r="H137" s="19"/>
      <c r="I137" s="19"/>
      <c r="J137" s="98"/>
      <c r="K137" s="19"/>
      <c r="L137" s="99"/>
      <c r="M137" s="64"/>
      <c r="N137" s="41"/>
      <c r="O137" s="75"/>
      <c r="P137" s="64"/>
    </row>
    <row r="138" spans="1:16" x14ac:dyDescent="0.2">
      <c r="A138" s="19" t="s">
        <v>258</v>
      </c>
      <c r="B138" s="19" t="s">
        <v>259</v>
      </c>
      <c r="C138" s="96">
        <f>'[1]auto data'!D6</f>
        <v>0.85667780347811184</v>
      </c>
      <c r="D138" s="19"/>
      <c r="E138" s="19"/>
      <c r="F138" s="19"/>
      <c r="G138" s="19"/>
      <c r="H138" s="19"/>
      <c r="I138" s="19"/>
      <c r="J138" s="21"/>
      <c r="K138" s="19"/>
      <c r="L138" s="19"/>
      <c r="M138" s="64"/>
      <c r="N138" s="41"/>
      <c r="O138" s="75"/>
      <c r="P138" s="64"/>
    </row>
    <row r="139" spans="1:16" x14ac:dyDescent="0.2">
      <c r="A139" s="77" t="s">
        <v>260</v>
      </c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9"/>
    </row>
    <row r="140" spans="1:16" x14ac:dyDescent="0.2">
      <c r="A140" s="100" t="s">
        <v>261</v>
      </c>
      <c r="B140" s="100"/>
      <c r="C140" s="100"/>
      <c r="D140" s="100"/>
      <c r="E140" s="101">
        <f>SUM(G2:G109)</f>
        <v>38473.608326448688</v>
      </c>
      <c r="F140" s="19"/>
      <c r="G140" s="100" t="s">
        <v>262</v>
      </c>
      <c r="H140" s="100"/>
      <c r="I140" s="100"/>
      <c r="J140" s="100"/>
      <c r="K140" s="102">
        <f>SUM(K2:K109)</f>
        <v>49327.123784158</v>
      </c>
      <c r="L140" s="19"/>
      <c r="M140" s="103" t="s">
        <v>263</v>
      </c>
      <c r="N140" s="104"/>
      <c r="O140" s="105"/>
      <c r="P140" s="106">
        <f>P141+M74+M60+M48+M39+M32+M16+M2+M52</f>
        <v>56786.732043951779</v>
      </c>
    </row>
    <row r="141" spans="1:16" x14ac:dyDescent="0.2">
      <c r="A141" s="100" t="s">
        <v>264</v>
      </c>
      <c r="B141" s="100"/>
      <c r="C141" s="100"/>
      <c r="D141" s="100"/>
      <c r="E141" s="101">
        <v>25000</v>
      </c>
      <c r="F141" s="19"/>
      <c r="G141" s="103" t="s">
        <v>265</v>
      </c>
      <c r="H141" s="104"/>
      <c r="I141" s="104"/>
      <c r="J141" s="105"/>
      <c r="K141" s="107">
        <f>K140-E140</f>
        <v>10853.515457709313</v>
      </c>
      <c r="L141" s="19"/>
      <c r="M141" s="103" t="s">
        <v>266</v>
      </c>
      <c r="N141" s="104"/>
      <c r="O141" s="105"/>
      <c r="P141" s="108">
        <f>E142-E140</f>
        <v>9226.621673551308</v>
      </c>
    </row>
    <row r="142" spans="1:16" x14ac:dyDescent="0.2">
      <c r="A142" s="100" t="s">
        <v>267</v>
      </c>
      <c r="B142" s="100"/>
      <c r="C142" s="100"/>
      <c r="D142" s="100"/>
      <c r="E142" s="101">
        <f>E141+K142</f>
        <v>47700.229999999996</v>
      </c>
      <c r="F142" s="19"/>
      <c r="G142" s="100" t="s">
        <v>268</v>
      </c>
      <c r="H142" s="100"/>
      <c r="I142" s="100"/>
      <c r="J142" s="100"/>
      <c r="K142" s="102">
        <f>SUM(K111:K134)</f>
        <v>22700.23</v>
      </c>
      <c r="L142" s="34"/>
      <c r="M142" s="103" t="s">
        <v>269</v>
      </c>
      <c r="N142" s="104"/>
      <c r="O142" s="105"/>
      <c r="P142" s="109">
        <f>P141/P140</f>
        <v>0.16247847589486378</v>
      </c>
    </row>
    <row r="143" spans="1:16" x14ac:dyDescent="0.2">
      <c r="A143" s="100" t="s">
        <v>270</v>
      </c>
      <c r="B143" s="100"/>
      <c r="C143" s="100"/>
      <c r="D143" s="100"/>
      <c r="E143" s="101">
        <f>E142+K143+K142</f>
        <v>70401.73146928176</v>
      </c>
      <c r="F143" s="19"/>
      <c r="G143" s="100" t="s">
        <v>271</v>
      </c>
      <c r="H143" s="100"/>
      <c r="I143" s="100"/>
      <c r="J143" s="100"/>
      <c r="K143" s="110">
        <f>(P140/E141)-1</f>
        <v>1.2714692817580713</v>
      </c>
      <c r="L143" s="34"/>
      <c r="M143" s="47" t="s">
        <v>272</v>
      </c>
      <c r="N143" s="48"/>
      <c r="O143" s="49"/>
      <c r="P143" s="111">
        <f>P74+P60+P52+P48+P39+P32+P16+P2+P142</f>
        <v>0.9980019810586912</v>
      </c>
    </row>
    <row r="144" spans="1:16" x14ac:dyDescent="0.2">
      <c r="A144" s="77" t="s">
        <v>273</v>
      </c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9"/>
    </row>
    <row r="145" spans="1:16" x14ac:dyDescent="0.2">
      <c r="A145" s="13" t="s">
        <v>274</v>
      </c>
      <c r="B145" s="13" t="s">
        <v>3</v>
      </c>
      <c r="C145" s="13" t="s">
        <v>275</v>
      </c>
      <c r="D145" s="13" t="s">
        <v>5</v>
      </c>
      <c r="E145" s="13" t="s">
        <v>276</v>
      </c>
      <c r="F145" s="13" t="s">
        <v>277</v>
      </c>
      <c r="G145" s="13" t="s">
        <v>278</v>
      </c>
      <c r="H145" s="16" t="s">
        <v>279</v>
      </c>
      <c r="I145" s="16" t="s">
        <v>280</v>
      </c>
      <c r="J145" s="112" t="s">
        <v>281</v>
      </c>
      <c r="K145" s="47" t="s">
        <v>282</v>
      </c>
      <c r="L145" s="48"/>
      <c r="M145" s="48"/>
      <c r="N145" s="48"/>
      <c r="O145" s="48"/>
      <c r="P145" s="49"/>
    </row>
    <row r="146" spans="1:16" x14ac:dyDescent="0.2">
      <c r="A146" s="19" t="s">
        <v>283</v>
      </c>
      <c r="B146" s="19" t="s">
        <v>284</v>
      </c>
      <c r="C146" s="113"/>
      <c r="D146" s="19">
        <v>20</v>
      </c>
      <c r="E146" s="21">
        <f>C135</f>
        <v>1.1717834544176235</v>
      </c>
      <c r="F146" s="97">
        <f>'[1]auto data'!W6</f>
        <v>28.76</v>
      </c>
      <c r="G146" s="23">
        <f>(F146/E146)*D146</f>
        <v>490.87568000000005</v>
      </c>
      <c r="H146" s="88">
        <v>26</v>
      </c>
      <c r="I146" s="64" t="s">
        <v>285</v>
      </c>
      <c r="J146" s="21" t="s">
        <v>286</v>
      </c>
      <c r="K146" s="114" t="s">
        <v>287</v>
      </c>
      <c r="L146" s="115"/>
      <c r="M146" s="115"/>
      <c r="N146" s="115"/>
      <c r="O146" s="115"/>
      <c r="P146" s="116"/>
    </row>
    <row r="147" spans="1:16" x14ac:dyDescent="0.2">
      <c r="A147" s="19" t="s">
        <v>288</v>
      </c>
      <c r="B147" s="19" t="s">
        <v>289</v>
      </c>
      <c r="C147" s="113" t="s">
        <v>290</v>
      </c>
      <c r="D147" s="19">
        <v>800</v>
      </c>
      <c r="E147" s="21">
        <f>C136</f>
        <v>1.4832393948383269</v>
      </c>
      <c r="F147" s="97">
        <f>'[1]auto data'!W3</f>
        <v>0.53</v>
      </c>
      <c r="G147" s="23">
        <f>(F147/E147)*D147</f>
        <v>285.86080000000004</v>
      </c>
      <c r="H147" s="117">
        <v>0.48</v>
      </c>
      <c r="I147" s="64" t="s">
        <v>291</v>
      </c>
      <c r="J147" s="21" t="s">
        <v>286</v>
      </c>
      <c r="K147" s="114" t="s">
        <v>292</v>
      </c>
      <c r="L147" s="115"/>
      <c r="M147" s="115"/>
      <c r="N147" s="115"/>
      <c r="O147" s="115"/>
      <c r="P147" s="116"/>
    </row>
    <row r="148" spans="1:16" x14ac:dyDescent="0.2">
      <c r="A148" s="19" t="s">
        <v>293</v>
      </c>
      <c r="B148" s="19" t="s">
        <v>294</v>
      </c>
      <c r="C148" s="113" t="s">
        <v>290</v>
      </c>
      <c r="D148" s="19">
        <v>600</v>
      </c>
      <c r="E148" s="21">
        <f>C137</f>
        <v>1.614465611882467</v>
      </c>
      <c r="F148" s="97">
        <f>'[1]auto data'!W5</f>
        <v>1.085</v>
      </c>
      <c r="G148" s="23">
        <f>(F148/E148)*D148</f>
        <v>403.2294</v>
      </c>
      <c r="H148" s="88">
        <v>0.95</v>
      </c>
      <c r="I148" s="64" t="s">
        <v>295</v>
      </c>
      <c r="J148" s="21" t="s">
        <v>286</v>
      </c>
      <c r="K148" s="114" t="s">
        <v>292</v>
      </c>
      <c r="L148" s="115"/>
      <c r="M148" s="115"/>
      <c r="N148" s="115"/>
      <c r="O148" s="115"/>
      <c r="P148" s="116"/>
    </row>
    <row r="149" spans="1:16" x14ac:dyDescent="0.2">
      <c r="A149" s="19" t="s">
        <v>296</v>
      </c>
      <c r="B149" s="19" t="s">
        <v>297</v>
      </c>
      <c r="C149" s="113"/>
      <c r="D149" s="19">
        <v>30</v>
      </c>
      <c r="E149" s="21">
        <f>C138</f>
        <v>0.85667780347811184</v>
      </c>
      <c r="F149" s="118">
        <f>'[1]auto data'!W7</f>
        <v>2658</v>
      </c>
      <c r="G149" s="23">
        <f>(F149/100)/E149*D149</f>
        <v>930.80502000000001</v>
      </c>
      <c r="H149" s="119">
        <v>2000</v>
      </c>
      <c r="I149" s="64" t="s">
        <v>298</v>
      </c>
      <c r="J149" s="21" t="s">
        <v>286</v>
      </c>
      <c r="K149" s="114" t="s">
        <v>299</v>
      </c>
      <c r="L149" s="115"/>
      <c r="M149" s="115"/>
      <c r="N149" s="115"/>
      <c r="O149" s="115"/>
      <c r="P149" s="116"/>
    </row>
    <row r="150" spans="1:16" x14ac:dyDescent="0.2">
      <c r="A150" s="19" t="s">
        <v>300</v>
      </c>
      <c r="B150" s="19" t="s">
        <v>301</v>
      </c>
      <c r="C150" s="113"/>
      <c r="D150" s="19">
        <v>100</v>
      </c>
      <c r="E150" s="21">
        <f>C135</f>
        <v>1.1717834544176235</v>
      </c>
      <c r="F150" s="97">
        <f>'[1]auto data'!W9</f>
        <v>3.45</v>
      </c>
      <c r="G150" s="23">
        <f>(F150/E150)*D150</f>
        <v>294.423</v>
      </c>
      <c r="H150" s="117">
        <v>3.4</v>
      </c>
      <c r="I150" s="64" t="s">
        <v>285</v>
      </c>
      <c r="J150" s="21" t="s">
        <v>286</v>
      </c>
      <c r="K150" s="114" t="s">
        <v>302</v>
      </c>
      <c r="L150" s="115"/>
      <c r="M150" s="115"/>
      <c r="N150" s="115"/>
      <c r="O150" s="115"/>
      <c r="P150" s="116"/>
    </row>
    <row r="151" spans="1:16" x14ac:dyDescent="0.2">
      <c r="A151" s="19" t="s">
        <v>303</v>
      </c>
      <c r="B151" s="19" t="s">
        <v>304</v>
      </c>
      <c r="C151" s="113"/>
      <c r="D151" s="19">
        <v>10</v>
      </c>
      <c r="E151" s="21">
        <f>C135</f>
        <v>1.1717834544176235</v>
      </c>
      <c r="F151" s="97">
        <f>'[1]auto data'!W8</f>
        <v>53.87</v>
      </c>
      <c r="G151" s="23">
        <f>(F151/E151)*D151</f>
        <v>459.72658000000001</v>
      </c>
      <c r="H151" s="88">
        <v>50</v>
      </c>
      <c r="I151" s="64" t="s">
        <v>285</v>
      </c>
      <c r="J151" s="21" t="s">
        <v>286</v>
      </c>
      <c r="K151" s="114" t="s">
        <v>302</v>
      </c>
      <c r="L151" s="115"/>
      <c r="M151" s="115"/>
      <c r="N151" s="115"/>
      <c r="O151" s="115"/>
      <c r="P151" s="116"/>
    </row>
    <row r="152" spans="1:16" x14ac:dyDescent="0.2">
      <c r="A152" s="19" t="s">
        <v>305</v>
      </c>
      <c r="B152" s="19" t="s">
        <v>306</v>
      </c>
      <c r="C152" s="113"/>
      <c r="D152" s="19">
        <v>12</v>
      </c>
      <c r="E152" s="21">
        <f>C135</f>
        <v>1.1717834544176235</v>
      </c>
      <c r="F152" s="97">
        <f>'[1]auto data'!W10</f>
        <v>51.31</v>
      </c>
      <c r="G152" s="23">
        <f>(F152/E152)*D152</f>
        <v>525.45544800000005</v>
      </c>
      <c r="H152" s="88">
        <v>48</v>
      </c>
      <c r="I152" s="64" t="s">
        <v>285</v>
      </c>
      <c r="J152" s="21" t="s">
        <v>286</v>
      </c>
      <c r="K152" s="114" t="s">
        <v>307</v>
      </c>
      <c r="L152" s="115"/>
      <c r="M152" s="115"/>
      <c r="N152" s="115"/>
      <c r="O152" s="115"/>
      <c r="P152" s="116"/>
    </row>
    <row r="153" spans="1:16" x14ac:dyDescent="0.2">
      <c r="A153" s="19" t="s">
        <v>308</v>
      </c>
      <c r="B153" s="19" t="s">
        <v>309</v>
      </c>
      <c r="C153" s="113"/>
      <c r="D153" s="19">
        <v>10</v>
      </c>
      <c r="E153" s="21">
        <f>C135</f>
        <v>1.1717834544176235</v>
      </c>
      <c r="F153" s="97">
        <f>'[1]auto data'!W11</f>
        <v>69.45</v>
      </c>
      <c r="G153" s="23">
        <f>(F153/E153)*D153</f>
        <v>592.68630000000007</v>
      </c>
      <c r="H153" s="88">
        <v>62</v>
      </c>
      <c r="I153" s="64" t="s">
        <v>285</v>
      </c>
      <c r="J153" s="21" t="s">
        <v>286</v>
      </c>
      <c r="K153" s="114" t="s">
        <v>310</v>
      </c>
      <c r="L153" s="115"/>
      <c r="M153" s="115"/>
      <c r="N153" s="115"/>
      <c r="O153" s="115"/>
      <c r="P153" s="116"/>
    </row>
    <row r="154" spans="1:16" x14ac:dyDescent="0.2">
      <c r="A154" s="19" t="s">
        <v>311</v>
      </c>
      <c r="B154" s="19" t="s">
        <v>312</v>
      </c>
      <c r="C154" s="113"/>
      <c r="D154" s="19">
        <v>50</v>
      </c>
      <c r="E154" s="21">
        <f>C137</f>
        <v>1.614465611882467</v>
      </c>
      <c r="F154" s="97">
        <f>'[1]auto data'!W12</f>
        <v>15.34</v>
      </c>
      <c r="G154" s="23">
        <f>(F154/E154)*D154</f>
        <v>475.07979999999998</v>
      </c>
      <c r="H154" s="88">
        <v>13</v>
      </c>
      <c r="I154" s="64" t="s">
        <v>295</v>
      </c>
      <c r="J154" s="21" t="s">
        <v>286</v>
      </c>
      <c r="K154" s="114" t="s">
        <v>313</v>
      </c>
      <c r="L154" s="115"/>
      <c r="M154" s="115"/>
      <c r="N154" s="115"/>
      <c r="O154" s="115"/>
      <c r="P154" s="116"/>
    </row>
    <row r="155" spans="1:16" x14ac:dyDescent="0.2">
      <c r="A155" s="19" t="s">
        <v>314</v>
      </c>
      <c r="B155" s="19" t="s">
        <v>315</v>
      </c>
      <c r="C155" s="113" t="s">
        <v>290</v>
      </c>
      <c r="D155" s="19">
        <v>700</v>
      </c>
      <c r="E155" s="21">
        <f>C136</f>
        <v>1.4832393948383269</v>
      </c>
      <c r="F155" s="97">
        <f>'[1]auto data'!W13</f>
        <v>0.45</v>
      </c>
      <c r="G155" s="23">
        <f>(F155/E155)*D155</f>
        <v>212.37299999999999</v>
      </c>
      <c r="H155" s="88">
        <v>0.3</v>
      </c>
      <c r="I155" s="64" t="s">
        <v>291</v>
      </c>
      <c r="J155" s="21" t="s">
        <v>286</v>
      </c>
      <c r="K155" s="114" t="s">
        <v>316</v>
      </c>
      <c r="L155" s="115"/>
      <c r="M155" s="115"/>
      <c r="N155" s="115"/>
      <c r="O155" s="115"/>
      <c r="P155" s="116"/>
    </row>
    <row r="156" spans="1:16" x14ac:dyDescent="0.2">
      <c r="A156" s="19"/>
      <c r="B156" s="19"/>
      <c r="C156" s="20"/>
      <c r="D156" s="19"/>
      <c r="E156" s="120"/>
      <c r="F156" s="97"/>
      <c r="G156" s="121"/>
      <c r="H156" s="122"/>
      <c r="I156" s="64"/>
      <c r="J156" s="123"/>
      <c r="K156" s="114"/>
      <c r="L156" s="115"/>
      <c r="M156" s="115"/>
      <c r="N156" s="115"/>
      <c r="O156" s="115"/>
      <c r="P156" s="116"/>
    </row>
  </sheetData>
  <mergeCells count="51">
    <mergeCell ref="K151:P151"/>
    <mergeCell ref="K152:P152"/>
    <mergeCell ref="K153:P153"/>
    <mergeCell ref="K154:P154"/>
    <mergeCell ref="K155:P155"/>
    <mergeCell ref="K156:P156"/>
    <mergeCell ref="K145:P145"/>
    <mergeCell ref="K146:P146"/>
    <mergeCell ref="K147:P147"/>
    <mergeCell ref="K148:P148"/>
    <mergeCell ref="K149:P149"/>
    <mergeCell ref="K150:P150"/>
    <mergeCell ref="A142:D142"/>
    <mergeCell ref="G142:J142"/>
    <mergeCell ref="M142:O142"/>
    <mergeCell ref="A143:D143"/>
    <mergeCell ref="G143:J143"/>
    <mergeCell ref="M143:O143"/>
    <mergeCell ref="N134:P134"/>
    <mergeCell ref="A140:D140"/>
    <mergeCell ref="G140:J140"/>
    <mergeCell ref="M140:O140"/>
    <mergeCell ref="A141:D141"/>
    <mergeCell ref="G141:J141"/>
    <mergeCell ref="M141:O141"/>
    <mergeCell ref="M53:O53"/>
    <mergeCell ref="A60:F60"/>
    <mergeCell ref="G60:K60"/>
    <mergeCell ref="M60:O60"/>
    <mergeCell ref="A74:F74"/>
    <mergeCell ref="G74:K74"/>
    <mergeCell ref="M74:O74"/>
    <mergeCell ref="A48:F48"/>
    <mergeCell ref="G48:K48"/>
    <mergeCell ref="M48:O48"/>
    <mergeCell ref="A52:F52"/>
    <mergeCell ref="G52:K52"/>
    <mergeCell ref="M52:O52"/>
    <mergeCell ref="A32:F32"/>
    <mergeCell ref="G32:K32"/>
    <mergeCell ref="M32:O32"/>
    <mergeCell ref="A39:F39"/>
    <mergeCell ref="G39:K39"/>
    <mergeCell ref="M39:O39"/>
    <mergeCell ref="A1:P1"/>
    <mergeCell ref="A2:F2"/>
    <mergeCell ref="G2:K2"/>
    <mergeCell ref="M2:O2"/>
    <mergeCell ref="A16:F16"/>
    <mergeCell ref="G16:K16"/>
    <mergeCell ref="M16:O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2021-09-25T05:46:18Z</dcterms:created>
  <dcterms:modified xsi:type="dcterms:W3CDTF">2021-09-25T05:48:33Z</dcterms:modified>
</cp:coreProperties>
</file>