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lder/Desktop/"/>
    </mc:Choice>
  </mc:AlternateContent>
  <xr:revisionPtr revIDLastSave="0" documentId="13_ncr:1_{2E249E59-FA6B-6F40-8547-7704D9EC9189}" xr6:coauthVersionLast="46" xr6:coauthVersionMax="46" xr10:uidLastSave="{00000000-0000-0000-0000-000000000000}"/>
  <bookViews>
    <workbookView xWindow="480" yWindow="1000" windowWidth="25040" windowHeight="14420" xr2:uid="{B13F1D73-FF07-2849-A6F0-B522FA2969EE}"/>
  </bookViews>
  <sheets>
    <sheet name="Blad1" sheetId="1" r:id="rId1"/>
  </sheets>
  <externalReferences>
    <externalReference r:id="rId2"/>
  </externalReferenc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8" i="1" l="1"/>
  <c r="E108" i="1" s="1"/>
  <c r="M78" i="1"/>
  <c r="J78" i="1"/>
  <c r="K78" i="1" s="1"/>
  <c r="L78" i="1" s="1"/>
  <c r="G78" i="1"/>
  <c r="K77" i="1"/>
  <c r="L77" i="1" s="1"/>
  <c r="G77" i="1"/>
  <c r="L76" i="1"/>
  <c r="K76" i="1"/>
  <c r="G76" i="1"/>
  <c r="L75" i="1"/>
  <c r="K75" i="1"/>
  <c r="J75" i="1"/>
  <c r="G75" i="1"/>
  <c r="L74" i="1"/>
  <c r="K74" i="1"/>
  <c r="J74" i="1"/>
  <c r="G74" i="1"/>
  <c r="L73" i="1"/>
  <c r="K73" i="1"/>
  <c r="G73" i="1"/>
  <c r="K72" i="1"/>
  <c r="L72" i="1" s="1"/>
  <c r="G72" i="1"/>
  <c r="K71" i="1"/>
  <c r="L71" i="1" s="1"/>
  <c r="G71" i="1"/>
  <c r="M70" i="1"/>
  <c r="K70" i="1"/>
  <c r="L70" i="1" s="1"/>
  <c r="G70" i="1"/>
  <c r="L69" i="1"/>
  <c r="K69" i="1"/>
  <c r="G69" i="1"/>
  <c r="L68" i="1"/>
  <c r="K68" i="1"/>
  <c r="G68" i="1"/>
  <c r="M67" i="1"/>
  <c r="K67" i="1"/>
  <c r="J67" i="1"/>
  <c r="I67" i="1"/>
  <c r="G67" i="1"/>
  <c r="L67" i="1" s="1"/>
  <c r="M66" i="1"/>
  <c r="J66" i="1"/>
  <c r="K66" i="1" s="1"/>
  <c r="L66" i="1" s="1"/>
  <c r="G66" i="1"/>
  <c r="K65" i="1"/>
  <c r="L65" i="1" s="1"/>
  <c r="G65" i="1"/>
  <c r="M64" i="1"/>
  <c r="J64" i="1"/>
  <c r="K64" i="1" s="1"/>
  <c r="L64" i="1" s="1"/>
  <c r="G64" i="1"/>
  <c r="K63" i="1"/>
  <c r="L63" i="1" s="1"/>
  <c r="G63" i="1"/>
  <c r="M62" i="1"/>
  <c r="J62" i="1"/>
  <c r="I62" i="1"/>
  <c r="K62" i="1" s="1"/>
  <c r="L62" i="1" s="1"/>
  <c r="G62" i="1"/>
  <c r="M61" i="1"/>
  <c r="L61" i="1"/>
  <c r="K61" i="1"/>
  <c r="J61" i="1"/>
  <c r="G61" i="1"/>
  <c r="M60" i="1"/>
  <c r="J60" i="1"/>
  <c r="I60" i="1"/>
  <c r="K60" i="1" s="1"/>
  <c r="L60" i="1" s="1"/>
  <c r="G60" i="1"/>
  <c r="M59" i="1"/>
  <c r="K59" i="1"/>
  <c r="L59" i="1" s="1"/>
  <c r="J59" i="1"/>
  <c r="G59" i="1"/>
  <c r="M58" i="1"/>
  <c r="L58" i="1"/>
  <c r="K58" i="1"/>
  <c r="J58" i="1"/>
  <c r="G58" i="1"/>
  <c r="M57" i="1"/>
  <c r="J57" i="1"/>
  <c r="K57" i="1" s="1"/>
  <c r="L57" i="1" s="1"/>
  <c r="G57" i="1"/>
  <c r="M56" i="1"/>
  <c r="J56" i="1"/>
  <c r="K56" i="1" s="1"/>
  <c r="L56" i="1" s="1"/>
  <c r="G56" i="1"/>
  <c r="K55" i="1"/>
  <c r="L55" i="1" s="1"/>
  <c r="G55" i="1"/>
  <c r="M54" i="1"/>
  <c r="J54" i="1"/>
  <c r="I54" i="1"/>
  <c r="K54" i="1" s="1"/>
  <c r="L54" i="1" s="1"/>
  <c r="G54" i="1"/>
  <c r="L52" i="1"/>
  <c r="K52" i="1"/>
  <c r="M52" i="1" s="1"/>
  <c r="G52" i="1"/>
  <c r="L51" i="1"/>
  <c r="K51" i="1"/>
  <c r="M51" i="1" s="1"/>
  <c r="G51" i="1"/>
  <c r="L50" i="1"/>
  <c r="K50" i="1"/>
  <c r="M50" i="1" s="1"/>
  <c r="G50" i="1"/>
  <c r="L48" i="1"/>
  <c r="K48" i="1"/>
  <c r="M48" i="1" s="1"/>
  <c r="J48" i="1"/>
  <c r="G48" i="1"/>
  <c r="J47" i="1"/>
  <c r="K47" i="1" s="1"/>
  <c r="G47" i="1"/>
  <c r="P45" i="1"/>
  <c r="O45" i="1"/>
  <c r="L45" i="1"/>
  <c r="K45" i="1"/>
  <c r="J45" i="1"/>
  <c r="G45" i="1"/>
  <c r="M45" i="1" s="1"/>
  <c r="P44" i="1"/>
  <c r="O44" i="1"/>
  <c r="K44" i="1"/>
  <c r="M44" i="1" s="1"/>
  <c r="J44" i="1"/>
  <c r="G44" i="1"/>
  <c r="O43" i="1"/>
  <c r="P43" i="1" s="1"/>
  <c r="J43" i="1"/>
  <c r="K43" i="1" s="1"/>
  <c r="G43" i="1"/>
  <c r="O42" i="1"/>
  <c r="P42" i="1" s="1"/>
  <c r="J42" i="1"/>
  <c r="K42" i="1" s="1"/>
  <c r="G42" i="1"/>
  <c r="J41" i="1"/>
  <c r="I41" i="1"/>
  <c r="K41" i="1" s="1"/>
  <c r="G41" i="1"/>
  <c r="P40" i="1"/>
  <c r="M40" i="1"/>
  <c r="O39" i="1"/>
  <c r="P39" i="1" s="1"/>
  <c r="J39" i="1"/>
  <c r="K39" i="1" s="1"/>
  <c r="G39" i="1"/>
  <c r="O38" i="1"/>
  <c r="P38" i="1" s="1"/>
  <c r="J38" i="1"/>
  <c r="K38" i="1" s="1"/>
  <c r="G38" i="1"/>
  <c r="P37" i="1"/>
  <c r="O37" i="1"/>
  <c r="L37" i="1"/>
  <c r="K37" i="1"/>
  <c r="J37" i="1"/>
  <c r="G37" i="1"/>
  <c r="M37" i="1" s="1"/>
  <c r="P35" i="1"/>
  <c r="O35" i="1"/>
  <c r="K35" i="1"/>
  <c r="M35" i="1" s="1"/>
  <c r="J35" i="1"/>
  <c r="I35" i="1"/>
  <c r="G35" i="1"/>
  <c r="P34" i="1"/>
  <c r="O34" i="1"/>
  <c r="K34" i="1"/>
  <c r="M34" i="1" s="1"/>
  <c r="J34" i="1"/>
  <c r="I34" i="1"/>
  <c r="G34" i="1"/>
  <c r="P33" i="1"/>
  <c r="O33" i="1"/>
  <c r="K33" i="1"/>
  <c r="M33" i="1" s="1"/>
  <c r="J33" i="1"/>
  <c r="I33" i="1"/>
  <c r="G33" i="1"/>
  <c r="P32" i="1"/>
  <c r="O32" i="1"/>
  <c r="K32" i="1"/>
  <c r="M32" i="1" s="1"/>
  <c r="J32" i="1"/>
  <c r="I32" i="1"/>
  <c r="G32" i="1"/>
  <c r="P30" i="1"/>
  <c r="O30" i="1"/>
  <c r="K30" i="1"/>
  <c r="M30" i="1" s="1"/>
  <c r="J30" i="1"/>
  <c r="G30" i="1"/>
  <c r="O29" i="1"/>
  <c r="P29" i="1" s="1"/>
  <c r="J29" i="1"/>
  <c r="K29" i="1" s="1"/>
  <c r="G29" i="1"/>
  <c r="O28" i="1"/>
  <c r="P28" i="1" s="1"/>
  <c r="J28" i="1"/>
  <c r="K28" i="1" s="1"/>
  <c r="G28" i="1"/>
  <c r="P27" i="1"/>
  <c r="O27" i="1"/>
  <c r="L27" i="1"/>
  <c r="K27" i="1"/>
  <c r="J27" i="1"/>
  <c r="G27" i="1"/>
  <c r="M27" i="1" s="1"/>
  <c r="P26" i="1"/>
  <c r="O26" i="1"/>
  <c r="K26" i="1"/>
  <c r="M26" i="1" s="1"/>
  <c r="J26" i="1"/>
  <c r="G26" i="1"/>
  <c r="O25" i="1"/>
  <c r="P25" i="1" s="1"/>
  <c r="J25" i="1"/>
  <c r="K25" i="1" s="1"/>
  <c r="G25" i="1"/>
  <c r="O24" i="1"/>
  <c r="P24" i="1" s="1"/>
  <c r="J24" i="1"/>
  <c r="K24" i="1" s="1"/>
  <c r="G24" i="1"/>
  <c r="P23" i="1"/>
  <c r="O23" i="1"/>
  <c r="L23" i="1"/>
  <c r="K23" i="1"/>
  <c r="J23" i="1"/>
  <c r="G23" i="1"/>
  <c r="M23" i="1" s="1"/>
  <c r="P22" i="1"/>
  <c r="O22" i="1"/>
  <c r="K22" i="1"/>
  <c r="M22" i="1" s="1"/>
  <c r="J22" i="1"/>
  <c r="G22" i="1"/>
  <c r="O21" i="1"/>
  <c r="P21" i="1" s="1"/>
  <c r="J21" i="1"/>
  <c r="K21" i="1" s="1"/>
  <c r="G21" i="1"/>
  <c r="O20" i="1"/>
  <c r="P20" i="1" s="1"/>
  <c r="J20" i="1"/>
  <c r="K20" i="1" s="1"/>
  <c r="G20" i="1"/>
  <c r="P19" i="1"/>
  <c r="O19" i="1"/>
  <c r="L19" i="1"/>
  <c r="K19" i="1"/>
  <c r="J19" i="1"/>
  <c r="G19" i="1"/>
  <c r="M19" i="1" s="1"/>
  <c r="P18" i="1"/>
  <c r="O18" i="1"/>
  <c r="K18" i="1"/>
  <c r="M18" i="1" s="1"/>
  <c r="J18" i="1"/>
  <c r="G18" i="1"/>
  <c r="O17" i="1"/>
  <c r="P17" i="1" s="1"/>
  <c r="J17" i="1"/>
  <c r="K17" i="1" s="1"/>
  <c r="G17" i="1"/>
  <c r="O16" i="1"/>
  <c r="P16" i="1" s="1"/>
  <c r="J16" i="1"/>
  <c r="K16" i="1" s="1"/>
  <c r="G16" i="1"/>
  <c r="P14" i="1"/>
  <c r="O14" i="1"/>
  <c r="L14" i="1"/>
  <c r="K14" i="1"/>
  <c r="J14" i="1"/>
  <c r="G14" i="1"/>
  <c r="M14" i="1" s="1"/>
  <c r="P13" i="1"/>
  <c r="O13" i="1"/>
  <c r="K13" i="1"/>
  <c r="M13" i="1" s="1"/>
  <c r="J13" i="1"/>
  <c r="G13" i="1"/>
  <c r="O12" i="1"/>
  <c r="P12" i="1" s="1"/>
  <c r="J12" i="1"/>
  <c r="K12" i="1" s="1"/>
  <c r="G12" i="1"/>
  <c r="O11" i="1"/>
  <c r="P11" i="1" s="1"/>
  <c r="J11" i="1"/>
  <c r="K11" i="1" s="1"/>
  <c r="G11" i="1"/>
  <c r="P10" i="1"/>
  <c r="O10" i="1"/>
  <c r="L10" i="1"/>
  <c r="K10" i="1"/>
  <c r="J10" i="1"/>
  <c r="G10" i="1"/>
  <c r="M10" i="1" s="1"/>
  <c r="P9" i="1"/>
  <c r="O9" i="1"/>
  <c r="K9" i="1"/>
  <c r="M9" i="1" s="1"/>
  <c r="J9" i="1"/>
  <c r="I9" i="1"/>
  <c r="G9" i="1"/>
  <c r="P8" i="1"/>
  <c r="O8" i="1"/>
  <c r="K8" i="1"/>
  <c r="M8" i="1" s="1"/>
  <c r="J8" i="1"/>
  <c r="G8" i="1"/>
  <c r="O7" i="1"/>
  <c r="P7" i="1" s="1"/>
  <c r="J7" i="1"/>
  <c r="K7" i="1" s="1"/>
  <c r="I7" i="1"/>
  <c r="G7" i="1"/>
  <c r="O6" i="1"/>
  <c r="P6" i="1" s="1"/>
  <c r="J6" i="1"/>
  <c r="K6" i="1" s="1"/>
  <c r="G6" i="1"/>
  <c r="O5" i="1"/>
  <c r="P5" i="1" s="1"/>
  <c r="J5" i="1"/>
  <c r="K5" i="1" s="1"/>
  <c r="G5" i="1"/>
  <c r="P4" i="1"/>
  <c r="O4" i="1"/>
  <c r="L4" i="1"/>
  <c r="K4" i="1"/>
  <c r="K106" i="1" s="1"/>
  <c r="K107" i="1" s="1"/>
  <c r="K109" i="1" s="1"/>
  <c r="J4" i="1"/>
  <c r="G4" i="1"/>
  <c r="E106" i="1" s="1"/>
  <c r="L5" i="1" l="1"/>
  <c r="M5" i="1"/>
  <c r="L16" i="1"/>
  <c r="M16" i="1"/>
  <c r="M21" i="1"/>
  <c r="L21" i="1"/>
  <c r="L38" i="1"/>
  <c r="M38" i="1"/>
  <c r="L41" i="1"/>
  <c r="M41" i="1"/>
  <c r="L47" i="1"/>
  <c r="M47" i="1"/>
  <c r="L20" i="1"/>
  <c r="M20" i="1"/>
  <c r="M25" i="1"/>
  <c r="L25" i="1"/>
  <c r="M12" i="1"/>
  <c r="L12" i="1"/>
  <c r="L24" i="1"/>
  <c r="M24" i="1"/>
  <c r="M29" i="1"/>
  <c r="L29" i="1"/>
  <c r="M43" i="1"/>
  <c r="L43" i="1"/>
  <c r="M6" i="1"/>
  <c r="L6" i="1"/>
  <c r="M7" i="1"/>
  <c r="L7" i="1"/>
  <c r="L11" i="1"/>
  <c r="M11" i="1"/>
  <c r="M17" i="1"/>
  <c r="L17" i="1"/>
  <c r="L28" i="1"/>
  <c r="M28" i="1"/>
  <c r="M39" i="1"/>
  <c r="L39" i="1"/>
  <c r="L42" i="1"/>
  <c r="M42" i="1"/>
  <c r="E109" i="1"/>
  <c r="P106" i="1"/>
  <c r="P107" i="1" s="1"/>
  <c r="M4" i="1"/>
  <c r="L8" i="1"/>
  <c r="L9" i="1"/>
  <c r="L13" i="1"/>
  <c r="L18" i="1"/>
  <c r="L22" i="1"/>
  <c r="L26" i="1"/>
  <c r="L30" i="1"/>
  <c r="L32" i="1"/>
  <c r="L33" i="1"/>
  <c r="L34" i="1"/>
  <c r="L35" i="1"/>
  <c r="L44" i="1"/>
  <c r="O41" i="1"/>
  <c r="P41" i="1" s="1"/>
</calcChain>
</file>

<file path=xl/sharedStrings.xml><?xml version="1.0" encoding="utf-8"?>
<sst xmlns="http://schemas.openxmlformats.org/spreadsheetml/2006/main" count="252" uniqueCount="217">
  <si>
    <t xml:space="preserve">datum: 26-february-2021    </t>
  </si>
  <si>
    <t>Investment</t>
  </si>
  <si>
    <t>Ticker</t>
  </si>
  <si>
    <t>Buy date</t>
  </si>
  <si>
    <t>Shares</t>
  </si>
  <si>
    <t>exch. rate buy</t>
  </si>
  <si>
    <t>Buy price</t>
  </si>
  <si>
    <t>Euro spent</t>
  </si>
  <si>
    <t>Price now</t>
  </si>
  <si>
    <t>Dividends</t>
  </si>
  <si>
    <t>exch. Rate now</t>
  </si>
  <si>
    <t>Euro now</t>
  </si>
  <si>
    <t>Return%</t>
  </si>
  <si>
    <t>Return€</t>
  </si>
  <si>
    <t>high</t>
  </si>
  <si>
    <t>Stop</t>
  </si>
  <si>
    <t>S.S.I.</t>
  </si>
  <si>
    <t>Edelmetaal  Miners &amp; Royalty's</t>
  </si>
  <si>
    <t>Ascot Resources</t>
  </si>
  <si>
    <t>AOT^</t>
  </si>
  <si>
    <t>Bear Creek Mining</t>
  </si>
  <si>
    <t>BCM^</t>
  </si>
  <si>
    <t>Plato Gold Corp</t>
  </si>
  <si>
    <t>PGC^</t>
  </si>
  <si>
    <t>Pan American Silver</t>
  </si>
  <si>
    <t>PAAS</t>
  </si>
  <si>
    <t>Sandstorm Gold ltd</t>
  </si>
  <si>
    <t>SAND</t>
  </si>
  <si>
    <t>Wheathon Precious Metals</t>
  </si>
  <si>
    <t>WPM</t>
  </si>
  <si>
    <t>Aurcana Silver Corp</t>
  </si>
  <si>
    <t>AUN</t>
  </si>
  <si>
    <t>VOX Royalty Corp</t>
  </si>
  <si>
    <t>VOX</t>
  </si>
  <si>
    <t>Silvercrest Metals Inc</t>
  </si>
  <si>
    <t>SILV</t>
  </si>
  <si>
    <t>Silver One Resources Inc</t>
  </si>
  <si>
    <t>SVE</t>
  </si>
  <si>
    <t>Sprott Physical Silver Trust</t>
  </si>
  <si>
    <t>PSLV</t>
  </si>
  <si>
    <t>Golden eggs basket, max 15 pos.</t>
  </si>
  <si>
    <t xml:space="preserve">1.Tudor Gold Corp </t>
  </si>
  <si>
    <t>TUD^</t>
  </si>
  <si>
    <t>2. Silver Elephant Mining Corp</t>
  </si>
  <si>
    <t>ELEF^</t>
  </si>
  <si>
    <t>3. Dolly Varden</t>
  </si>
  <si>
    <t>DV</t>
  </si>
  <si>
    <t>4. Karora Resources Inc</t>
  </si>
  <si>
    <t>KRR</t>
  </si>
  <si>
    <t>5. GR silver Mining ltd</t>
  </si>
  <si>
    <t>GRSL</t>
  </si>
  <si>
    <t>7.Silver Viper Minerals</t>
  </si>
  <si>
    <t>VIPR</t>
  </si>
  <si>
    <t>8. Granada Gold Mine Inc</t>
  </si>
  <si>
    <t>GGM</t>
  </si>
  <si>
    <t>9.Idaho Champion GM Cananada</t>
  </si>
  <si>
    <t>ITKO</t>
  </si>
  <si>
    <t>10. Contact Gold</t>
  </si>
  <si>
    <t>C</t>
  </si>
  <si>
    <t>11. KORE Mining Ltd</t>
  </si>
  <si>
    <t>KORE</t>
  </si>
  <si>
    <t>12. Fortune Bay Corp</t>
  </si>
  <si>
    <t>FOR</t>
  </si>
  <si>
    <t>13. Brixton Metals Corp</t>
  </si>
  <si>
    <t>BBB</t>
  </si>
  <si>
    <t>14. Aftermath Silver Corp</t>
  </si>
  <si>
    <t>AAG</t>
  </si>
  <si>
    <t>15. Reyna Silver Corp</t>
  </si>
  <si>
    <t>RSLV</t>
  </si>
  <si>
    <t>16. Vizsla Resources  Corp</t>
  </si>
  <si>
    <t>VZLA</t>
  </si>
  <si>
    <t>Dividend Income</t>
  </si>
  <si>
    <t>Gamco Global G&amp;Nat res</t>
  </si>
  <si>
    <t>GGN</t>
  </si>
  <si>
    <t>Gamco Nat res, Gold &amp; inc trust</t>
  </si>
  <si>
    <t>GNT</t>
  </si>
  <si>
    <t>Altria</t>
  </si>
  <si>
    <t>MO</t>
  </si>
  <si>
    <t>Reaves Utility Income Fund</t>
  </si>
  <si>
    <t>UTG</t>
  </si>
  <si>
    <t>Uranium</t>
  </si>
  <si>
    <t>4. IsoEnergy Ltd</t>
  </si>
  <si>
    <t>ISO^</t>
  </si>
  <si>
    <t>5. Uranium Energy Corp</t>
  </si>
  <si>
    <t>UEC</t>
  </si>
  <si>
    <t>6. Denison Mines Corp</t>
  </si>
  <si>
    <t>DNN</t>
  </si>
  <si>
    <t>EV-metals &amp; Base Metals</t>
  </si>
  <si>
    <t>2. Norilsk Nikkel</t>
  </si>
  <si>
    <t>NILSY</t>
  </si>
  <si>
    <t>3. Atico Mining Corp</t>
  </si>
  <si>
    <t>ATY^</t>
  </si>
  <si>
    <t>5. FPX Nickel Corp</t>
  </si>
  <si>
    <t>FPX</t>
  </si>
  <si>
    <t>6. Nova Royalty Corp</t>
  </si>
  <si>
    <t>NOVR</t>
  </si>
  <si>
    <t>7. Electric Royalties Ltd</t>
  </si>
  <si>
    <t>ELEC</t>
  </si>
  <si>
    <t>Opties</t>
  </si>
  <si>
    <t>geschreven Put 2022jan $10</t>
  </si>
  <si>
    <t>AG</t>
  </si>
  <si>
    <t>closed</t>
  </si>
  <si>
    <t>geschreven Put 2023jan $7</t>
  </si>
  <si>
    <t>Crypto's box, max 10 positions</t>
  </si>
  <si>
    <t>7. Litecoin</t>
  </si>
  <si>
    <t>LTC</t>
  </si>
  <si>
    <t>10. Filecoin</t>
  </si>
  <si>
    <t>FIL</t>
  </si>
  <si>
    <t>11. Band Protocol</t>
  </si>
  <si>
    <t>BAND</t>
  </si>
  <si>
    <t>FGS</t>
  </si>
  <si>
    <t>2. Innovative Industrial Properties</t>
  </si>
  <si>
    <t>IIPR</t>
  </si>
  <si>
    <t>weed</t>
  </si>
  <si>
    <t>3. Bitcoin</t>
  </si>
  <si>
    <t>crypto</t>
  </si>
  <si>
    <t>4. Pretium Resources Inc</t>
  </si>
  <si>
    <t>PVG</t>
  </si>
  <si>
    <t>precious</t>
  </si>
  <si>
    <t>5. New Pacific Metals</t>
  </si>
  <si>
    <t>NUAG^</t>
  </si>
  <si>
    <t>6. First Majestic Silver</t>
  </si>
  <si>
    <t>7. ELY Gold Royalties</t>
  </si>
  <si>
    <t>ELY^</t>
  </si>
  <si>
    <t>8. Franco Nevada</t>
  </si>
  <si>
    <t>FNV</t>
  </si>
  <si>
    <t>9. Sandstorm Gold</t>
  </si>
  <si>
    <t>10. Metella Royalty &amp; Streaming Ltd</t>
  </si>
  <si>
    <t>MTA^%</t>
  </si>
  <si>
    <t>11. Ethereum</t>
  </si>
  <si>
    <t>12.Coeur Mining Inc</t>
  </si>
  <si>
    <t>CDE</t>
  </si>
  <si>
    <t>13. The Graph</t>
  </si>
  <si>
    <t>GRT</t>
  </si>
  <si>
    <t>box</t>
  </si>
  <si>
    <t>15. Defiance Silver Corp</t>
  </si>
  <si>
    <t>DEF</t>
  </si>
  <si>
    <t>basket</t>
  </si>
  <si>
    <t>16. Lundin Mining Corp</t>
  </si>
  <si>
    <t>LUN^</t>
  </si>
  <si>
    <t>battery</t>
  </si>
  <si>
    <t>17. Stellar Lumens</t>
  </si>
  <si>
    <t>XLM</t>
  </si>
  <si>
    <t>18. Algorand</t>
  </si>
  <si>
    <t>ALGO</t>
  </si>
  <si>
    <t>19. First Majestic Silver</t>
  </si>
  <si>
    <t>Precious</t>
  </si>
  <si>
    <t>20. Compound</t>
  </si>
  <si>
    <t>COMP</t>
  </si>
  <si>
    <t>21. Chainlink</t>
  </si>
  <si>
    <t>LINK</t>
  </si>
  <si>
    <t>22. Cosmos</t>
  </si>
  <si>
    <t>ATOM</t>
  </si>
  <si>
    <t>23. Nexgen Energy</t>
  </si>
  <si>
    <t>NXE^</t>
  </si>
  <si>
    <t xml:space="preserve">bullet </t>
  </si>
  <si>
    <t>24. Uranium Royalty Corp</t>
  </si>
  <si>
    <t>URC^</t>
  </si>
  <si>
    <t>25. Dash</t>
  </si>
  <si>
    <t>DASH</t>
  </si>
  <si>
    <t>26. Ur-Energy Inc</t>
  </si>
  <si>
    <t>URG</t>
  </si>
  <si>
    <t>27. Ivanhoe Mines</t>
  </si>
  <si>
    <t>IVN</t>
  </si>
  <si>
    <t>Resultaat 2018-20</t>
  </si>
  <si>
    <t>Defiance Silver Corp</t>
  </si>
  <si>
    <t>Lundin Mining Corp</t>
  </si>
  <si>
    <t>LUN</t>
  </si>
  <si>
    <t>Stellar Lumens</t>
  </si>
  <si>
    <t>Algorand</t>
  </si>
  <si>
    <t>First Majestic Silver</t>
  </si>
  <si>
    <t>Compound</t>
  </si>
  <si>
    <t xml:space="preserve">gekochte Call 2021 $38 </t>
  </si>
  <si>
    <t>GDX</t>
  </si>
  <si>
    <t>Chainlink</t>
  </si>
  <si>
    <t>Cosmos</t>
  </si>
  <si>
    <t>Nexgen Energy</t>
  </si>
  <si>
    <t>XRP</t>
  </si>
  <si>
    <t>Uranium Royalty Corp</t>
  </si>
  <si>
    <t>Bitcoin</t>
  </si>
  <si>
    <t>Ethereum</t>
  </si>
  <si>
    <t>American Manganese Inc</t>
  </si>
  <si>
    <t>AMY</t>
  </si>
  <si>
    <t>Dash</t>
  </si>
  <si>
    <t>Canopy Growth Compagny</t>
  </si>
  <si>
    <t>WEED^</t>
  </si>
  <si>
    <t>Ur-Eenergy Inc</t>
  </si>
  <si>
    <t xml:space="preserve">Ivanhoe Mines </t>
  </si>
  <si>
    <t>Amerikaanse dollar</t>
  </si>
  <si>
    <t>$</t>
  </si>
  <si>
    <t>Canadese dollar</t>
  </si>
  <si>
    <t>CAD</t>
  </si>
  <si>
    <t>Australische dollar</t>
  </si>
  <si>
    <t>AUD</t>
  </si>
  <si>
    <t>CASH SPENT ON STOCKS</t>
  </si>
  <si>
    <t>PROFIT GENERATED/LOST ON STOCKS</t>
  </si>
  <si>
    <t>CASH</t>
  </si>
  <si>
    <t>STARTCAPITAL 2020</t>
  </si>
  <si>
    <t>PROFIT/LOSS STOCKS IN PORTFOLIO</t>
  </si>
  <si>
    <t>CASH%</t>
  </si>
  <si>
    <t>STARTCAPITAL 2020 + PROFIT STOCKS SOLD</t>
  </si>
  <si>
    <t>PROFIT/LOSS STOCKS SOLD</t>
  </si>
  <si>
    <t>STARTCAPITAL 2020 + PROFIT STOCKS SOLD+PROFIT PORTFOLIO</t>
  </si>
  <si>
    <t>TOTAL RENDEMENT 2018-21</t>
  </si>
  <si>
    <t>Watchlist/Koop lijst</t>
  </si>
  <si>
    <t>Rec. Date</t>
  </si>
  <si>
    <t>Rec. Exch rate</t>
  </si>
  <si>
    <t>Rec. Price</t>
  </si>
  <si>
    <t>Euro</t>
  </si>
  <si>
    <t>&lt; or &gt;</t>
  </si>
  <si>
    <t>Div.</t>
  </si>
  <si>
    <t>Buy or Sell</t>
  </si>
  <si>
    <t>Remarks</t>
  </si>
  <si>
    <t>7.Bannerman Resources Inc</t>
  </si>
  <si>
    <t>BMN</t>
  </si>
  <si>
    <t>8.Paladin Energy Inc</t>
  </si>
  <si>
    <t>PDN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</si>
</sst>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8" formatCode="_([$€-2]\ * #,##0_);_([$€-2]\ * \(#,##0\);_([$€-2]\ * &quot;-&quot;??_);_(@_)"/>
    <numFmt numFmtId="169" formatCode="0.0%"/>
    <numFmt numFmtId="170" formatCode="0.0000"/>
    <numFmt numFmtId="171" formatCode="_(* #,##0.000_);_(* \(#,##0.000\);_(* &quot;-&quot;??_);_(@_)"/>
    <numFmt numFmtId="172" formatCode="_(* #,##0_);_(* \(#,##0\);_(* &quot;-&quot;??_);_(@_)"/>
    <numFmt numFmtId="173" formatCode="0.000"/>
    <numFmt numFmtId="174" formatCode="_([$€-2]\ * #,##0.00_);_([$€-2]\ * \(#,##0.00\);_([$€-2]\ * &quot;-&quot;??_);_(@_)"/>
    <numFmt numFmtId="175" formatCode="_(* #,##0.0000_);_(* \(#,##0.0000\);_(* &quot;-&quot;??_);_(@_)"/>
    <numFmt numFmtId="176" formatCode="_(&quot;€&quot;\ * #,##0_);_(&quot;€&quot;\ * \(#,##0\);_(&quot;€&quot;\ * &quot;-&quot;??_);_(@_)"/>
    <numFmt numFmtId="177" formatCode="_ [$€-413]\ * #,##0_ ;_ [$€-413]\ * \-#,##0_ ;_ [$€-413]\ * &quot;-&quot;??_ ;_ @_ 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1" xfId="0" applyFont="1" applyBorder="1" applyAlignment="1">
      <alignment horizontal="right"/>
    </xf>
    <xf numFmtId="0" fontId="3" fillId="0" borderId="2" xfId="0" applyFont="1" applyBorder="1"/>
    <xf numFmtId="14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4" fillId="0" borderId="2" xfId="0" applyFont="1" applyBorder="1"/>
    <xf numFmtId="14" fontId="4" fillId="0" borderId="2" xfId="0" applyNumberFormat="1" applyFont="1" applyBorder="1"/>
    <xf numFmtId="43" fontId="4" fillId="0" borderId="2" xfId="1" applyFont="1" applyBorder="1"/>
    <xf numFmtId="168" fontId="4" fillId="0" borderId="2" xfId="0" applyNumberFormat="1" applyFont="1" applyBorder="1"/>
    <xf numFmtId="169" fontId="4" fillId="0" borderId="2" xfId="3" applyNumberFormat="1" applyFont="1" applyBorder="1"/>
    <xf numFmtId="168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right"/>
    </xf>
    <xf numFmtId="43" fontId="4" fillId="0" borderId="2" xfId="0" applyNumberFormat="1" applyFont="1" applyBorder="1" applyAlignment="1">
      <alignment horizontal="left"/>
    </xf>
    <xf numFmtId="43" fontId="4" fillId="0" borderId="2" xfId="0" applyNumberFormat="1" applyFont="1" applyBorder="1" applyAlignment="1">
      <alignment horizontal="center"/>
    </xf>
    <xf numFmtId="170" fontId="4" fillId="0" borderId="2" xfId="0" applyNumberFormat="1" applyFont="1" applyBorder="1"/>
    <xf numFmtId="2" fontId="5" fillId="0" borderId="3" xfId="0" applyNumberFormat="1" applyFont="1" applyBorder="1"/>
    <xf numFmtId="169" fontId="6" fillId="0" borderId="2" xfId="3" applyNumberFormat="1" applyFont="1" applyBorder="1"/>
    <xf numFmtId="43" fontId="7" fillId="0" borderId="2" xfId="0" applyNumberFormat="1" applyFont="1" applyBorder="1" applyAlignment="1">
      <alignment horizontal="center"/>
    </xf>
    <xf numFmtId="169" fontId="7" fillId="0" borderId="2" xfId="3" applyNumberFormat="1" applyFont="1" applyBorder="1"/>
    <xf numFmtId="171" fontId="4" fillId="0" borderId="2" xfId="1" applyNumberFormat="1" applyFont="1" applyBorder="1"/>
    <xf numFmtId="2" fontId="4" fillId="0" borderId="2" xfId="0" applyNumberFormat="1" applyFont="1" applyBorder="1"/>
    <xf numFmtId="43" fontId="6" fillId="0" borderId="2" xfId="0" applyNumberFormat="1" applyFont="1" applyBorder="1" applyAlignment="1">
      <alignment horizontal="center"/>
    </xf>
    <xf numFmtId="0" fontId="5" fillId="0" borderId="3" xfId="0" applyFont="1" applyBorder="1"/>
    <xf numFmtId="0" fontId="4" fillId="0" borderId="2" xfId="0" applyFont="1" applyBorder="1" applyAlignment="1">
      <alignment horizontal="right"/>
    </xf>
    <xf numFmtId="1" fontId="4" fillId="0" borderId="2" xfId="0" applyNumberFormat="1" applyFont="1" applyBorder="1"/>
    <xf numFmtId="43" fontId="4" fillId="0" borderId="2" xfId="1" applyFont="1" applyBorder="1" applyAlignment="1">
      <alignment horizontal="right"/>
    </xf>
    <xf numFmtId="172" fontId="4" fillId="0" borderId="2" xfId="0" applyNumberFormat="1" applyFont="1" applyBorder="1"/>
    <xf numFmtId="1" fontId="5" fillId="0" borderId="3" xfId="0" applyNumberFormat="1" applyFont="1" applyBorder="1"/>
    <xf numFmtId="1" fontId="4" fillId="0" borderId="2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0" fontId="8" fillId="0" borderId="0" xfId="0" applyFont="1"/>
    <xf numFmtId="0" fontId="4" fillId="0" borderId="4" xfId="0" applyFont="1" applyBorder="1"/>
    <xf numFmtId="170" fontId="4" fillId="0" borderId="4" xfId="0" applyNumberFormat="1" applyFont="1" applyBorder="1"/>
    <xf numFmtId="168" fontId="4" fillId="0" borderId="4" xfId="0" applyNumberFormat="1" applyFont="1" applyBorder="1"/>
    <xf numFmtId="173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174" fontId="9" fillId="0" borderId="2" xfId="0" applyNumberFormat="1" applyFont="1" applyBorder="1" applyAlignment="1">
      <alignment horizontal="center"/>
    </xf>
    <xf numFmtId="9" fontId="9" fillId="0" borderId="2" xfId="0" applyNumberFormat="1" applyFont="1" applyBorder="1" applyAlignment="1">
      <alignment horizontal="right"/>
    </xf>
    <xf numFmtId="43" fontId="4" fillId="0" borderId="2" xfId="0" applyNumberFormat="1" applyFont="1" applyBorder="1" applyAlignment="1">
      <alignment horizontal="left" vertical="center"/>
    </xf>
    <xf numFmtId="0" fontId="5" fillId="0" borderId="2" xfId="0" applyFont="1" applyBorder="1"/>
    <xf numFmtId="14" fontId="5" fillId="0" borderId="2" xfId="0" applyNumberFormat="1" applyFont="1" applyBorder="1"/>
    <xf numFmtId="43" fontId="5" fillId="0" borderId="2" xfId="0" applyNumberFormat="1" applyFont="1" applyBorder="1"/>
    <xf numFmtId="43" fontId="5" fillId="0" borderId="2" xfId="0" applyNumberFormat="1" applyFont="1" applyBorder="1" applyAlignment="1">
      <alignment horizontal="right"/>
    </xf>
    <xf numFmtId="43" fontId="4" fillId="0" borderId="2" xfId="1" applyFont="1" applyFill="1" applyBorder="1"/>
    <xf numFmtId="43" fontId="4" fillId="0" borderId="2" xfId="1" applyFont="1" applyFill="1" applyBorder="1" applyAlignment="1">
      <alignment horizontal="right"/>
    </xf>
    <xf numFmtId="175" fontId="4" fillId="0" borderId="2" xfId="0" applyNumberFormat="1" applyFont="1" applyBorder="1"/>
    <xf numFmtId="43" fontId="4" fillId="0" borderId="2" xfId="0" applyNumberFormat="1" applyFont="1" applyBorder="1"/>
    <xf numFmtId="168" fontId="4" fillId="0" borderId="2" xfId="2" applyNumberFormat="1" applyFont="1" applyBorder="1"/>
    <xf numFmtId="176" fontId="4" fillId="0" borderId="2" xfId="2" applyNumberFormat="1" applyFont="1" applyBorder="1"/>
    <xf numFmtId="170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1" fontId="4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77" fontId="3" fillId="0" borderId="2" xfId="0" applyNumberFormat="1" applyFont="1" applyBorder="1" applyAlignment="1">
      <alignment horizontal="left"/>
    </xf>
    <xf numFmtId="176" fontId="3" fillId="0" borderId="2" xfId="2" applyNumberFormat="1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77" fontId="3" fillId="0" borderId="2" xfId="3" applyNumberFormat="1" applyFont="1" applyBorder="1" applyAlignment="1">
      <alignment horizontal="right"/>
    </xf>
    <xf numFmtId="177" fontId="3" fillId="0" borderId="2" xfId="0" applyNumberFormat="1" applyFont="1" applyBorder="1"/>
    <xf numFmtId="9" fontId="3" fillId="0" borderId="2" xfId="3" applyFont="1" applyBorder="1" applyAlignment="1">
      <alignment horizontal="right"/>
    </xf>
    <xf numFmtId="169" fontId="3" fillId="0" borderId="2" xfId="3" applyNumberFormat="1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70" fontId="7" fillId="0" borderId="2" xfId="0" applyNumberFormat="1" applyFont="1" applyBorder="1"/>
    <xf numFmtId="43" fontId="7" fillId="0" borderId="2" xfId="1" applyFont="1" applyFill="1" applyBorder="1"/>
    <xf numFmtId="168" fontId="7" fillId="0" borderId="2" xfId="0" applyNumberFormat="1" applyFont="1" applyBorder="1"/>
    <xf numFmtId="43" fontId="7" fillId="0" borderId="2" xfId="1" applyFont="1" applyFill="1" applyBorder="1" applyAlignment="1">
      <alignment horizontal="right"/>
    </xf>
    <xf numFmtId="0" fontId="7" fillId="0" borderId="2" xfId="0" applyFont="1" applyBorder="1"/>
    <xf numFmtId="169" fontId="7" fillId="0" borderId="2" xfId="3" applyNumberFormat="1" applyFont="1" applyFill="1" applyBorder="1"/>
    <xf numFmtId="168" fontId="7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right"/>
    </xf>
    <xf numFmtId="43" fontId="7" fillId="0" borderId="2" xfId="0" applyNumberFormat="1" applyFont="1" applyBorder="1" applyAlignment="1">
      <alignment horizontal="left"/>
    </xf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lder/Documents/4.%20Martin/Werk/Stocks4u/1.%20Tabellen%20voor%20nieuwsbri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Highscore List"/>
      <sheetName val="BBBB "/>
      <sheetName val="Formules"/>
      <sheetName val="Dividend"/>
      <sheetName val="Gouddichtheid"/>
      <sheetName val="Watchlist"/>
      <sheetName val="2020"/>
      <sheetName val="2019"/>
      <sheetName val="Opties"/>
      <sheetName val="SHORT"/>
      <sheetName val="Blad1"/>
      <sheetName val="Blad3"/>
      <sheetName val="2018"/>
      <sheetName val="Mijnen"/>
      <sheetName val="Blad2"/>
      <sheetName val="Stockpicking"/>
      <sheetName val="BEARMARKET SURVIVAL"/>
    </sheetNames>
    <sheetDataSet>
      <sheetData sheetId="0"/>
      <sheetData sheetId="1"/>
      <sheetData sheetId="2"/>
      <sheetData sheetId="3"/>
      <sheetData sheetId="4">
        <row r="3">
          <cell r="P3">
            <v>2.97</v>
          </cell>
        </row>
        <row r="4">
          <cell r="P4">
            <v>0</v>
          </cell>
        </row>
        <row r="5">
          <cell r="P5">
            <v>8.25</v>
          </cell>
        </row>
        <row r="6">
          <cell r="P6">
            <v>3.89</v>
          </cell>
        </row>
        <row r="7">
          <cell r="P7">
            <v>0.39</v>
          </cell>
        </row>
        <row r="8">
          <cell r="P8">
            <v>0.18</v>
          </cell>
        </row>
        <row r="9">
          <cell r="P9">
            <v>0.16</v>
          </cell>
        </row>
        <row r="10">
          <cell r="P10">
            <v>0.17</v>
          </cell>
        </row>
        <row r="11">
          <cell r="P11">
            <v>0.86</v>
          </cell>
        </row>
        <row r="12">
          <cell r="P12">
            <v>0.54</v>
          </cell>
        </row>
        <row r="22">
          <cell r="P22">
            <v>4.9000000000000009E-2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A8AF6-99E3-3346-9E7D-B18202C1BC27}">
  <dimension ref="A1:P113"/>
  <sheetViews>
    <sheetView tabSelected="1" topLeftCell="A4" workbookViewId="0">
      <selection activeCell="Q7" sqref="Q7"/>
    </sheetView>
  </sheetViews>
  <sheetFormatPr baseColWidth="10" defaultRowHeight="16" x14ac:dyDescent="0.2"/>
  <cols>
    <col min="1" max="1" width="21.1640625" bestFit="1" customWidth="1"/>
    <col min="2" max="2" width="5.1640625" bestFit="1" customWidth="1"/>
    <col min="3" max="3" width="6.83203125" bestFit="1" customWidth="1"/>
    <col min="4" max="4" width="4.5" bestFit="1" customWidth="1"/>
    <col min="5" max="5" width="8.6640625" bestFit="1" customWidth="1"/>
    <col min="6" max="6" width="6.1640625" bestFit="1" customWidth="1"/>
    <col min="7" max="7" width="6.6640625" bestFit="1" customWidth="1"/>
    <col min="8" max="9" width="6.1640625" bestFit="1" customWidth="1"/>
    <col min="10" max="10" width="9.33203125" bestFit="1" customWidth="1"/>
    <col min="11" max="11" width="6.33203125" bestFit="1" customWidth="1"/>
    <col min="12" max="12" width="5.6640625" bestFit="1" customWidth="1"/>
    <col min="13" max="13" width="6.33203125" bestFit="1" customWidth="1"/>
    <col min="14" max="14" width="4.1640625" bestFit="1" customWidth="1"/>
    <col min="15" max="15" width="6" bestFit="1" customWidth="1"/>
    <col min="16" max="16" width="6.1640625" bestFit="1" customWidth="1"/>
  </cols>
  <sheetData>
    <row r="1" spans="1:16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4" t="s">
        <v>13</v>
      </c>
      <c r="N2" s="5" t="s">
        <v>14</v>
      </c>
      <c r="O2" s="6" t="s">
        <v>15</v>
      </c>
      <c r="P2" s="4" t="s">
        <v>16</v>
      </c>
    </row>
    <row r="3" spans="1:16" x14ac:dyDescent="0.2">
      <c r="A3" s="2" t="s">
        <v>17</v>
      </c>
      <c r="B3" s="7"/>
      <c r="C3" s="8"/>
      <c r="D3" s="7"/>
      <c r="E3" s="7"/>
      <c r="F3" s="9"/>
      <c r="G3" s="10"/>
      <c r="H3" s="7"/>
      <c r="I3" s="7"/>
      <c r="J3" s="7"/>
      <c r="K3" s="10"/>
      <c r="L3" s="11"/>
      <c r="M3" s="12"/>
      <c r="N3" s="13"/>
      <c r="O3" s="14"/>
      <c r="P3" s="15"/>
    </row>
    <row r="4" spans="1:16" x14ac:dyDescent="0.2">
      <c r="A4" s="7" t="s">
        <v>18</v>
      </c>
      <c r="B4" s="7" t="s">
        <v>19</v>
      </c>
      <c r="C4" s="8">
        <v>43837</v>
      </c>
      <c r="D4" s="7">
        <v>720</v>
      </c>
      <c r="E4" s="16">
        <v>1.45</v>
      </c>
      <c r="F4" s="9">
        <v>0.81</v>
      </c>
      <c r="G4" s="10">
        <f t="shared" ref="G4:G59" si="0">(F4*D4)/E4</f>
        <v>402.20689655172418</v>
      </c>
      <c r="H4" s="17">
        <v>1.08</v>
      </c>
      <c r="I4" s="7">
        <v>0</v>
      </c>
      <c r="J4" s="16">
        <f>J102</f>
        <v>1.54</v>
      </c>
      <c r="K4" s="10">
        <f t="shared" ref="K4:K59" si="1">((H4+I4)/J4)*D4</f>
        <v>504.93506493506493</v>
      </c>
      <c r="L4" s="18">
        <f t="shared" ref="L4:L43" si="2">(K4-G4)/G4</f>
        <v>0.25541125541125526</v>
      </c>
      <c r="M4" s="12">
        <f t="shared" ref="M4:M43" si="3">K4-G4</f>
        <v>102.72816838334074</v>
      </c>
      <c r="N4" s="13">
        <v>1.55</v>
      </c>
      <c r="O4" s="14">
        <f>(N4+I4)*0.33</f>
        <v>0.51150000000000007</v>
      </c>
      <c r="P4" s="19">
        <f t="shared" ref="P4:P42" si="4">O4-F4</f>
        <v>-0.29849999999999999</v>
      </c>
    </row>
    <row r="5" spans="1:16" x14ac:dyDescent="0.2">
      <c r="A5" s="7" t="s">
        <v>20</v>
      </c>
      <c r="B5" s="7" t="s">
        <v>21</v>
      </c>
      <c r="C5" s="8">
        <v>43850</v>
      </c>
      <c r="D5" s="7">
        <v>122</v>
      </c>
      <c r="E5" s="16">
        <v>1.45</v>
      </c>
      <c r="F5" s="9">
        <v>2.4700000000000002</v>
      </c>
      <c r="G5" s="10">
        <f t="shared" si="0"/>
        <v>207.82068965517243</v>
      </c>
      <c r="H5" s="17">
        <v>2.29</v>
      </c>
      <c r="I5" s="7">
        <v>0</v>
      </c>
      <c r="J5" s="16">
        <f>J102</f>
        <v>1.54</v>
      </c>
      <c r="K5" s="10">
        <f t="shared" si="1"/>
        <v>181.41558441558439</v>
      </c>
      <c r="L5" s="20">
        <f>(K5-G5)/G5</f>
        <v>-0.12705715337294304</v>
      </c>
      <c r="M5" s="12">
        <f t="shared" si="3"/>
        <v>-26.405105239588039</v>
      </c>
      <c r="N5" s="13">
        <v>3.9</v>
      </c>
      <c r="O5" s="14">
        <f>(N5+I5)*0.33</f>
        <v>1.2869999999999999</v>
      </c>
      <c r="P5" s="19">
        <f>O5-F5</f>
        <v>-1.1830000000000003</v>
      </c>
    </row>
    <row r="6" spans="1:16" x14ac:dyDescent="0.2">
      <c r="A6" s="7" t="s">
        <v>22</v>
      </c>
      <c r="B6" s="7" t="s">
        <v>23</v>
      </c>
      <c r="C6" s="8">
        <v>43881</v>
      </c>
      <c r="D6" s="7">
        <v>6400</v>
      </c>
      <c r="E6" s="16">
        <v>1.43</v>
      </c>
      <c r="F6" s="21">
        <v>4.4999999999999998E-2</v>
      </c>
      <c r="G6" s="10">
        <f t="shared" si="0"/>
        <v>201.39860139860141</v>
      </c>
      <c r="H6" s="17">
        <v>0.03</v>
      </c>
      <c r="I6" s="7">
        <v>0</v>
      </c>
      <c r="J6" s="16">
        <f>J102</f>
        <v>1.54</v>
      </c>
      <c r="K6" s="10">
        <f t="shared" si="1"/>
        <v>124.67532467532467</v>
      </c>
      <c r="L6" s="20">
        <f t="shared" si="2"/>
        <v>-0.38095238095238099</v>
      </c>
      <c r="M6" s="12">
        <f t="shared" si="3"/>
        <v>-76.72327672327674</v>
      </c>
      <c r="N6" s="13">
        <v>0.05</v>
      </c>
      <c r="O6" s="14">
        <f>(N6+I6)*0.33</f>
        <v>1.6500000000000001E-2</v>
      </c>
      <c r="P6" s="19">
        <f t="shared" si="4"/>
        <v>-2.8499999999999998E-2</v>
      </c>
    </row>
    <row r="7" spans="1:16" x14ac:dyDescent="0.2">
      <c r="A7" s="7" t="s">
        <v>24</v>
      </c>
      <c r="B7" s="7" t="s">
        <v>25</v>
      </c>
      <c r="C7" s="8">
        <v>43958</v>
      </c>
      <c r="D7" s="7">
        <v>20</v>
      </c>
      <c r="E7" s="16">
        <v>1.08</v>
      </c>
      <c r="F7" s="9">
        <v>21.5</v>
      </c>
      <c r="G7" s="10">
        <f t="shared" si="0"/>
        <v>398.1481481481481</v>
      </c>
      <c r="H7" s="17">
        <v>33.020000000000003</v>
      </c>
      <c r="I7" s="22">
        <f>[1]Dividend!P10</f>
        <v>0.17</v>
      </c>
      <c r="J7" s="7">
        <f>J101</f>
        <v>1.2076</v>
      </c>
      <c r="K7" s="10">
        <f t="shared" si="1"/>
        <v>549.68532626697584</v>
      </c>
      <c r="L7" s="18">
        <f t="shared" si="2"/>
        <v>0.38060500550775345</v>
      </c>
      <c r="M7" s="12">
        <f t="shared" si="3"/>
        <v>151.53717811882774</v>
      </c>
      <c r="N7" s="13">
        <v>39.15</v>
      </c>
      <c r="O7" s="14">
        <f>(N7+I7)*0.75</f>
        <v>29.490000000000002</v>
      </c>
      <c r="P7" s="23">
        <f t="shared" si="4"/>
        <v>7.990000000000002</v>
      </c>
    </row>
    <row r="8" spans="1:16" x14ac:dyDescent="0.2">
      <c r="A8" s="7" t="s">
        <v>26</v>
      </c>
      <c r="B8" s="7" t="s">
        <v>27</v>
      </c>
      <c r="C8" s="8">
        <v>44193</v>
      </c>
      <c r="D8" s="7">
        <v>200</v>
      </c>
      <c r="E8" s="16">
        <v>1.2213000000000001</v>
      </c>
      <c r="F8" s="9">
        <v>6.665</v>
      </c>
      <c r="G8" s="10">
        <f t="shared" si="0"/>
        <v>1091.4599197576354</v>
      </c>
      <c r="H8" s="17">
        <v>6.05</v>
      </c>
      <c r="I8" s="22">
        <v>0</v>
      </c>
      <c r="J8" s="16">
        <f>J101</f>
        <v>1.2076</v>
      </c>
      <c r="K8" s="10">
        <f t="shared" si="1"/>
        <v>1001.9874130506789</v>
      </c>
      <c r="L8" s="20">
        <f t="shared" si="2"/>
        <v>-8.1975073099179216E-2</v>
      </c>
      <c r="M8" s="12">
        <f t="shared" si="3"/>
        <v>-89.472506706956437</v>
      </c>
      <c r="N8" s="13">
        <v>7.28</v>
      </c>
      <c r="O8" s="14">
        <f>(N8+I8)*0.75</f>
        <v>5.46</v>
      </c>
      <c r="P8" s="19">
        <f t="shared" si="4"/>
        <v>-1.2050000000000001</v>
      </c>
    </row>
    <row r="9" spans="1:16" x14ac:dyDescent="0.2">
      <c r="A9" s="7" t="s">
        <v>28</v>
      </c>
      <c r="B9" s="7" t="s">
        <v>29</v>
      </c>
      <c r="C9" s="8">
        <v>44195</v>
      </c>
      <c r="D9" s="7">
        <v>30</v>
      </c>
      <c r="E9" s="16">
        <v>1.2286999999999999</v>
      </c>
      <c r="F9" s="9">
        <v>42.5</v>
      </c>
      <c r="G9" s="10">
        <f t="shared" si="0"/>
        <v>1037.6821030357289</v>
      </c>
      <c r="H9" s="17">
        <v>35.74</v>
      </c>
      <c r="I9" s="22">
        <f>[1]Dividend!P4</f>
        <v>0</v>
      </c>
      <c r="J9" s="16">
        <f>J101</f>
        <v>1.2076</v>
      </c>
      <c r="K9" s="10">
        <f t="shared" si="1"/>
        <v>887.8767803908579</v>
      </c>
      <c r="L9" s="20">
        <f t="shared" si="2"/>
        <v>-0.14436533328137491</v>
      </c>
      <c r="M9" s="12">
        <f t="shared" si="3"/>
        <v>-149.80532264487101</v>
      </c>
      <c r="N9" s="13">
        <v>42.5</v>
      </c>
      <c r="O9" s="14">
        <f>(N9+I9)*0.75</f>
        <v>31.875</v>
      </c>
      <c r="P9" s="19">
        <f t="shared" si="4"/>
        <v>-10.625</v>
      </c>
    </row>
    <row r="10" spans="1:16" x14ac:dyDescent="0.2">
      <c r="A10" s="7" t="s">
        <v>30</v>
      </c>
      <c r="B10" s="7" t="s">
        <v>31</v>
      </c>
      <c r="C10" s="8">
        <v>44204</v>
      </c>
      <c r="D10" s="7">
        <v>700</v>
      </c>
      <c r="E10" s="16">
        <v>1.56</v>
      </c>
      <c r="F10" s="9">
        <v>0.95</v>
      </c>
      <c r="G10" s="10">
        <f t="shared" si="0"/>
        <v>426.28205128205127</v>
      </c>
      <c r="H10" s="17">
        <v>0.94</v>
      </c>
      <c r="I10" s="22">
        <v>0</v>
      </c>
      <c r="J10" s="16">
        <f>J102</f>
        <v>1.54</v>
      </c>
      <c r="K10" s="10">
        <f t="shared" si="1"/>
        <v>427.27272727272725</v>
      </c>
      <c r="L10" s="18">
        <f t="shared" si="2"/>
        <v>2.323991797675987E-3</v>
      </c>
      <c r="M10" s="12">
        <f t="shared" si="3"/>
        <v>0.99067599067598167</v>
      </c>
      <c r="N10" s="13">
        <v>0.95</v>
      </c>
      <c r="O10" s="14">
        <f>(N10+I10)*0.66</f>
        <v>0.627</v>
      </c>
      <c r="P10" s="19">
        <f t="shared" si="4"/>
        <v>-0.32299999999999995</v>
      </c>
    </row>
    <row r="11" spans="1:16" x14ac:dyDescent="0.2">
      <c r="A11" s="7" t="s">
        <v>32</v>
      </c>
      <c r="B11" s="7" t="s">
        <v>33</v>
      </c>
      <c r="C11" s="8">
        <v>44210</v>
      </c>
      <c r="D11" s="7">
        <v>100</v>
      </c>
      <c r="E11" s="16">
        <v>1.56</v>
      </c>
      <c r="F11" s="9">
        <v>3.15</v>
      </c>
      <c r="G11" s="10">
        <f t="shared" si="0"/>
        <v>201.92307692307691</v>
      </c>
      <c r="H11" s="17">
        <v>3</v>
      </c>
      <c r="I11" s="22">
        <v>0</v>
      </c>
      <c r="J11" s="16">
        <f>J102</f>
        <v>1.54</v>
      </c>
      <c r="K11" s="10">
        <f t="shared" si="1"/>
        <v>194.80519480519482</v>
      </c>
      <c r="L11" s="20">
        <f t="shared" si="2"/>
        <v>-3.5250463821892258E-2</v>
      </c>
      <c r="M11" s="12">
        <f t="shared" si="3"/>
        <v>-7.1178821178820897</v>
      </c>
      <c r="N11" s="13">
        <v>3.15</v>
      </c>
      <c r="O11" s="14">
        <f>(N11+I11)*0.66</f>
        <v>2.0790000000000002</v>
      </c>
      <c r="P11" s="19">
        <f t="shared" si="4"/>
        <v>-1.0709999999999997</v>
      </c>
    </row>
    <row r="12" spans="1:16" x14ac:dyDescent="0.2">
      <c r="A12" s="7" t="s">
        <v>34</v>
      </c>
      <c r="B12" s="7" t="s">
        <v>35</v>
      </c>
      <c r="C12" s="8">
        <v>44211</v>
      </c>
      <c r="D12" s="7">
        <v>50</v>
      </c>
      <c r="E12" s="16">
        <v>1.208</v>
      </c>
      <c r="F12" s="9">
        <v>9.3800000000000008</v>
      </c>
      <c r="G12" s="10">
        <f t="shared" si="0"/>
        <v>388.24503311258286</v>
      </c>
      <c r="H12" s="17">
        <v>8.3000000000000007</v>
      </c>
      <c r="I12" s="22">
        <v>0</v>
      </c>
      <c r="J12" s="16">
        <f>J101</f>
        <v>1.2076</v>
      </c>
      <c r="K12" s="10">
        <f t="shared" si="1"/>
        <v>343.65684001324945</v>
      </c>
      <c r="L12" s="20">
        <f t="shared" si="2"/>
        <v>-0.11484549523239819</v>
      </c>
      <c r="M12" s="12">
        <f t="shared" si="3"/>
        <v>-44.588193099333409</v>
      </c>
      <c r="N12" s="13">
        <v>10.15</v>
      </c>
      <c r="O12" s="14">
        <f>(N12+I12)*0.66</f>
        <v>6.6990000000000007</v>
      </c>
      <c r="P12" s="19">
        <f t="shared" si="4"/>
        <v>-2.681</v>
      </c>
    </row>
    <row r="13" spans="1:16" x14ac:dyDescent="0.2">
      <c r="A13" s="7" t="s">
        <v>36</v>
      </c>
      <c r="B13" s="7" t="s">
        <v>37</v>
      </c>
      <c r="C13" s="8">
        <v>44246</v>
      </c>
      <c r="D13" s="7">
        <v>400</v>
      </c>
      <c r="E13" s="16">
        <v>1.54</v>
      </c>
      <c r="F13" s="9">
        <v>0.87</v>
      </c>
      <c r="G13" s="10">
        <f t="shared" si="0"/>
        <v>225.97402597402598</v>
      </c>
      <c r="H13" s="17">
        <v>0.74</v>
      </c>
      <c r="I13" s="22">
        <v>0</v>
      </c>
      <c r="J13" s="16">
        <f>J102</f>
        <v>1.54</v>
      </c>
      <c r="K13" s="10">
        <f t="shared" si="1"/>
        <v>192.20779220779221</v>
      </c>
      <c r="L13" s="20">
        <f t="shared" si="2"/>
        <v>-0.14942528735632185</v>
      </c>
      <c r="M13" s="12">
        <f t="shared" si="3"/>
        <v>-33.766233766233768</v>
      </c>
      <c r="N13" s="13">
        <v>0.87</v>
      </c>
      <c r="O13" s="14">
        <f>(N13+I13)*0.66</f>
        <v>0.57420000000000004</v>
      </c>
      <c r="P13" s="19">
        <f t="shared" si="4"/>
        <v>-0.29579999999999995</v>
      </c>
    </row>
    <row r="14" spans="1:16" x14ac:dyDescent="0.2">
      <c r="A14" s="7" t="s">
        <v>38</v>
      </c>
      <c r="B14" s="7" t="s">
        <v>39</v>
      </c>
      <c r="C14" s="8">
        <v>44250</v>
      </c>
      <c r="D14" s="7">
        <v>100</v>
      </c>
      <c r="E14" s="16">
        <v>1.2157</v>
      </c>
      <c r="F14" s="9">
        <v>10.07</v>
      </c>
      <c r="G14" s="10">
        <f t="shared" si="0"/>
        <v>828.32935757176938</v>
      </c>
      <c r="H14" s="17">
        <v>9.81</v>
      </c>
      <c r="I14" s="22">
        <v>0</v>
      </c>
      <c r="J14" s="16">
        <f>J101</f>
        <v>1.2076</v>
      </c>
      <c r="K14" s="10">
        <f t="shared" si="1"/>
        <v>812.35508446505469</v>
      </c>
      <c r="L14" s="20">
        <f t="shared" si="2"/>
        <v>-1.9284929310658439E-2</v>
      </c>
      <c r="M14" s="12">
        <f t="shared" si="3"/>
        <v>-15.974273106714691</v>
      </c>
      <c r="N14" s="13">
        <v>10.07</v>
      </c>
      <c r="O14" s="14">
        <f>(N14+I14)*0.75</f>
        <v>7.5525000000000002</v>
      </c>
      <c r="P14" s="19">
        <f>O14-F14</f>
        <v>-2.5175000000000001</v>
      </c>
    </row>
    <row r="15" spans="1:16" x14ac:dyDescent="0.2">
      <c r="A15" s="2" t="s">
        <v>40</v>
      </c>
      <c r="B15" s="7"/>
      <c r="C15" s="8"/>
      <c r="D15" s="7"/>
      <c r="E15" s="16"/>
      <c r="F15" s="9"/>
      <c r="G15" s="10"/>
      <c r="H15" s="17"/>
      <c r="I15" s="22"/>
      <c r="J15" s="7"/>
      <c r="K15" s="10"/>
      <c r="L15" s="18"/>
      <c r="M15" s="12"/>
      <c r="N15" s="13"/>
      <c r="O15" s="14"/>
      <c r="P15" s="19"/>
    </row>
    <row r="16" spans="1:16" x14ac:dyDescent="0.2">
      <c r="A16" s="7" t="s">
        <v>41</v>
      </c>
      <c r="B16" s="7" t="s">
        <v>42</v>
      </c>
      <c r="C16" s="8">
        <v>44054</v>
      </c>
      <c r="D16" s="7">
        <v>100</v>
      </c>
      <c r="E16" s="16">
        <v>1.58</v>
      </c>
      <c r="F16" s="9">
        <v>3.65</v>
      </c>
      <c r="G16" s="10">
        <f t="shared" si="0"/>
        <v>231.01265822784808</v>
      </c>
      <c r="H16" s="17">
        <v>2.96</v>
      </c>
      <c r="I16" s="7">
        <v>0</v>
      </c>
      <c r="J16" s="16">
        <f>J102</f>
        <v>1.54</v>
      </c>
      <c r="K16" s="10">
        <f t="shared" si="1"/>
        <v>192.20779220779221</v>
      </c>
      <c r="L16" s="20">
        <f t="shared" si="2"/>
        <v>-0.16797722825120076</v>
      </c>
      <c r="M16" s="12">
        <f t="shared" si="3"/>
        <v>-38.804866020055869</v>
      </c>
      <c r="N16" s="13">
        <v>3.65</v>
      </c>
      <c r="O16" s="14">
        <f t="shared" ref="O16:O30" si="5">(N16+I16)*0.5</f>
        <v>1.825</v>
      </c>
      <c r="P16" s="19">
        <f t="shared" si="4"/>
        <v>-1.825</v>
      </c>
    </row>
    <row r="17" spans="1:16" x14ac:dyDescent="0.2">
      <c r="A17" s="7" t="s">
        <v>43</v>
      </c>
      <c r="B17" s="7" t="s">
        <v>44</v>
      </c>
      <c r="C17" s="8">
        <v>44054</v>
      </c>
      <c r="D17" s="7">
        <v>600</v>
      </c>
      <c r="E17" s="16">
        <v>1.58</v>
      </c>
      <c r="F17" s="9">
        <v>0.48</v>
      </c>
      <c r="G17" s="10">
        <f t="shared" si="0"/>
        <v>182.27848101265823</v>
      </c>
      <c r="H17" s="17">
        <v>0.46</v>
      </c>
      <c r="I17" s="7">
        <v>0</v>
      </c>
      <c r="J17" s="16">
        <f>J102</f>
        <v>1.54</v>
      </c>
      <c r="K17" s="10">
        <f t="shared" si="1"/>
        <v>179.22077922077921</v>
      </c>
      <c r="L17" s="20">
        <f>(K17-G17)/G17</f>
        <v>-1.677489177489188E-2</v>
      </c>
      <c r="M17" s="12">
        <f t="shared" si="3"/>
        <v>-3.0577017918790261</v>
      </c>
      <c r="N17" s="13">
        <v>0.51</v>
      </c>
      <c r="O17" s="14">
        <f t="shared" si="5"/>
        <v>0.255</v>
      </c>
      <c r="P17" s="19">
        <f t="shared" si="4"/>
        <v>-0.22499999999999998</v>
      </c>
    </row>
    <row r="18" spans="1:16" x14ac:dyDescent="0.2">
      <c r="A18" s="7" t="s">
        <v>45</v>
      </c>
      <c r="B18" s="7" t="s">
        <v>46</v>
      </c>
      <c r="C18" s="8">
        <v>44054</v>
      </c>
      <c r="D18" s="7">
        <v>300</v>
      </c>
      <c r="E18" s="16">
        <v>1.58</v>
      </c>
      <c r="F18" s="9">
        <v>0.94</v>
      </c>
      <c r="G18" s="10">
        <f t="shared" si="0"/>
        <v>178.48101265822785</v>
      </c>
      <c r="H18" s="17">
        <v>0.73</v>
      </c>
      <c r="I18" s="7">
        <v>0</v>
      </c>
      <c r="J18" s="16">
        <f>J102</f>
        <v>1.54</v>
      </c>
      <c r="K18" s="10">
        <f t="shared" si="1"/>
        <v>142.20779220779221</v>
      </c>
      <c r="L18" s="20">
        <f t="shared" si="2"/>
        <v>-0.20323293727549049</v>
      </c>
      <c r="M18" s="12">
        <f t="shared" si="3"/>
        <v>-36.273220450435645</v>
      </c>
      <c r="N18" s="13">
        <v>1.06</v>
      </c>
      <c r="O18" s="14">
        <f t="shared" si="5"/>
        <v>0.53</v>
      </c>
      <c r="P18" s="19">
        <f t="shared" si="4"/>
        <v>-0.40999999999999992</v>
      </c>
    </row>
    <row r="19" spans="1:16" x14ac:dyDescent="0.2">
      <c r="A19" s="7" t="s">
        <v>47</v>
      </c>
      <c r="B19" s="7" t="s">
        <v>48</v>
      </c>
      <c r="C19" s="8">
        <v>44054</v>
      </c>
      <c r="D19" s="7">
        <v>100</v>
      </c>
      <c r="E19" s="16">
        <v>1.58</v>
      </c>
      <c r="F19" s="9">
        <v>3.64</v>
      </c>
      <c r="G19" s="10">
        <f t="shared" si="0"/>
        <v>230.37974683544303</v>
      </c>
      <c r="H19" s="17">
        <v>2.93</v>
      </c>
      <c r="I19" s="7">
        <v>0</v>
      </c>
      <c r="J19" s="16">
        <f>J102</f>
        <v>1.54</v>
      </c>
      <c r="K19" s="10">
        <f t="shared" si="1"/>
        <v>190.25974025974025</v>
      </c>
      <c r="L19" s="20">
        <f t="shared" si="2"/>
        <v>-0.17414728129013843</v>
      </c>
      <c r="M19" s="12">
        <f t="shared" si="3"/>
        <v>-40.120006575702774</v>
      </c>
      <c r="N19" s="13">
        <v>4</v>
      </c>
      <c r="O19" s="14">
        <f t="shared" si="5"/>
        <v>2</v>
      </c>
      <c r="P19" s="19">
        <f t="shared" si="4"/>
        <v>-1.6400000000000001</v>
      </c>
    </row>
    <row r="20" spans="1:16" x14ac:dyDescent="0.2">
      <c r="A20" s="7" t="s">
        <v>49</v>
      </c>
      <c r="B20" s="7" t="s">
        <v>50</v>
      </c>
      <c r="C20" s="8">
        <v>44077</v>
      </c>
      <c r="D20" s="7">
        <v>400</v>
      </c>
      <c r="E20" s="16">
        <v>1.55</v>
      </c>
      <c r="F20" s="9">
        <v>0.86</v>
      </c>
      <c r="G20" s="10">
        <f t="shared" si="0"/>
        <v>221.93548387096774</v>
      </c>
      <c r="H20" s="17">
        <v>0.71</v>
      </c>
      <c r="I20" s="7">
        <v>0</v>
      </c>
      <c r="J20" s="16">
        <f>J102</f>
        <v>1.54</v>
      </c>
      <c r="K20" s="10">
        <f t="shared" si="1"/>
        <v>184.41558441558442</v>
      </c>
      <c r="L20" s="20">
        <f t="shared" si="2"/>
        <v>-0.16905768649954694</v>
      </c>
      <c r="M20" s="12">
        <f t="shared" si="3"/>
        <v>-37.519899455383324</v>
      </c>
      <c r="N20" s="13">
        <v>0.91</v>
      </c>
      <c r="O20" s="14">
        <f t="shared" si="5"/>
        <v>0.45500000000000002</v>
      </c>
      <c r="P20" s="19">
        <f t="shared" si="4"/>
        <v>-0.40499999999999997</v>
      </c>
    </row>
    <row r="21" spans="1:16" x14ac:dyDescent="0.2">
      <c r="A21" s="7" t="s">
        <v>51</v>
      </c>
      <c r="B21" s="7" t="s">
        <v>52</v>
      </c>
      <c r="C21" s="8">
        <v>44096</v>
      </c>
      <c r="D21" s="7">
        <v>500</v>
      </c>
      <c r="E21" s="16">
        <v>1.56</v>
      </c>
      <c r="F21" s="9">
        <v>0.6</v>
      </c>
      <c r="G21" s="10">
        <f t="shared" si="0"/>
        <v>192.30769230769229</v>
      </c>
      <c r="H21" s="17">
        <v>0.52</v>
      </c>
      <c r="I21" s="7">
        <v>0</v>
      </c>
      <c r="J21" s="16">
        <f>J102</f>
        <v>1.54</v>
      </c>
      <c r="K21" s="10">
        <f t="shared" si="1"/>
        <v>168.83116883116884</v>
      </c>
      <c r="L21" s="20">
        <f t="shared" si="2"/>
        <v>-0.12207792207792197</v>
      </c>
      <c r="M21" s="12">
        <f t="shared" si="3"/>
        <v>-23.476523476523454</v>
      </c>
      <c r="N21" s="13">
        <v>0.7</v>
      </c>
      <c r="O21" s="14">
        <f t="shared" si="5"/>
        <v>0.35</v>
      </c>
      <c r="P21" s="19">
        <f t="shared" si="4"/>
        <v>-0.25</v>
      </c>
    </row>
    <row r="22" spans="1:16" x14ac:dyDescent="0.2">
      <c r="A22" s="7" t="s">
        <v>53</v>
      </c>
      <c r="B22" s="7" t="s">
        <v>54</v>
      </c>
      <c r="C22" s="8">
        <v>44088</v>
      </c>
      <c r="D22" s="7">
        <v>1200</v>
      </c>
      <c r="E22" s="16">
        <v>1.56</v>
      </c>
      <c r="F22" s="9">
        <v>0.24</v>
      </c>
      <c r="G22" s="10">
        <f t="shared" si="0"/>
        <v>184.61538461538461</v>
      </c>
      <c r="H22" s="17">
        <v>0.17</v>
      </c>
      <c r="I22" s="7">
        <v>0</v>
      </c>
      <c r="J22" s="16">
        <f>J102</f>
        <v>1.54</v>
      </c>
      <c r="K22" s="10">
        <f t="shared" si="1"/>
        <v>132.46753246753246</v>
      </c>
      <c r="L22" s="20">
        <f t="shared" si="2"/>
        <v>-0.28246753246753248</v>
      </c>
      <c r="M22" s="12">
        <f t="shared" si="3"/>
        <v>-52.147852147852149</v>
      </c>
      <c r="N22" s="13">
        <v>0.24</v>
      </c>
      <c r="O22" s="14">
        <f t="shared" si="5"/>
        <v>0.12</v>
      </c>
      <c r="P22" s="19">
        <f t="shared" si="4"/>
        <v>-0.12</v>
      </c>
    </row>
    <row r="23" spans="1:16" x14ac:dyDescent="0.2">
      <c r="A23" s="7" t="s">
        <v>55</v>
      </c>
      <c r="B23" s="7" t="s">
        <v>56</v>
      </c>
      <c r="C23" s="8">
        <v>44102</v>
      </c>
      <c r="D23" s="7">
        <v>1500</v>
      </c>
      <c r="E23" s="16">
        <v>1.56</v>
      </c>
      <c r="F23" s="9">
        <v>0.23</v>
      </c>
      <c r="G23" s="10">
        <f t="shared" si="0"/>
        <v>221.15384615384616</v>
      </c>
      <c r="H23" s="17">
        <v>0.17</v>
      </c>
      <c r="I23" s="7">
        <v>0</v>
      </c>
      <c r="J23" s="16">
        <f>J102</f>
        <v>1.54</v>
      </c>
      <c r="K23" s="10">
        <f t="shared" si="1"/>
        <v>165.58441558441561</v>
      </c>
      <c r="L23" s="20">
        <f t="shared" si="2"/>
        <v>-0.25127046866177294</v>
      </c>
      <c r="M23" s="12">
        <f t="shared" si="3"/>
        <v>-55.569430569430551</v>
      </c>
      <c r="N23" s="13">
        <v>0.28999999999999998</v>
      </c>
      <c r="O23" s="14">
        <f>(N23+I23)*0.5</f>
        <v>0.14499999999999999</v>
      </c>
      <c r="P23" s="19">
        <f t="shared" si="4"/>
        <v>-8.500000000000002E-2</v>
      </c>
    </row>
    <row r="24" spans="1:16" x14ac:dyDescent="0.2">
      <c r="A24" s="7" t="s">
        <v>57</v>
      </c>
      <c r="B24" s="7" t="s">
        <v>58</v>
      </c>
      <c r="C24" s="8">
        <v>44103</v>
      </c>
      <c r="D24" s="7">
        <v>1750</v>
      </c>
      <c r="E24" s="16">
        <v>1.56</v>
      </c>
      <c r="F24" s="9">
        <v>0.185</v>
      </c>
      <c r="G24" s="10">
        <f t="shared" si="0"/>
        <v>207.53205128205127</v>
      </c>
      <c r="H24" s="17">
        <v>0.11</v>
      </c>
      <c r="I24" s="7">
        <v>0</v>
      </c>
      <c r="J24" s="16">
        <f>J102</f>
        <v>1.54</v>
      </c>
      <c r="K24" s="10">
        <f t="shared" si="1"/>
        <v>125</v>
      </c>
      <c r="L24" s="20">
        <f t="shared" si="2"/>
        <v>-0.39768339768339767</v>
      </c>
      <c r="M24" s="12">
        <f t="shared" si="3"/>
        <v>-82.53205128205127</v>
      </c>
      <c r="N24" s="13">
        <v>0.185</v>
      </c>
      <c r="O24" s="14">
        <f t="shared" si="5"/>
        <v>9.2499999999999999E-2</v>
      </c>
      <c r="P24" s="19">
        <f t="shared" si="4"/>
        <v>-9.2499999999999999E-2</v>
      </c>
    </row>
    <row r="25" spans="1:16" x14ac:dyDescent="0.2">
      <c r="A25" s="7" t="s">
        <v>59</v>
      </c>
      <c r="B25" s="7" t="s">
        <v>60</v>
      </c>
      <c r="C25" s="8">
        <v>44158</v>
      </c>
      <c r="D25" s="7">
        <v>250</v>
      </c>
      <c r="E25" s="16">
        <v>1.55</v>
      </c>
      <c r="F25" s="9">
        <v>1.32</v>
      </c>
      <c r="G25" s="10">
        <f t="shared" si="0"/>
        <v>212.90322580645162</v>
      </c>
      <c r="H25" s="17">
        <v>0.96</v>
      </c>
      <c r="I25" s="7">
        <v>0</v>
      </c>
      <c r="J25" s="16">
        <f>J102</f>
        <v>1.54</v>
      </c>
      <c r="K25" s="10">
        <f t="shared" si="1"/>
        <v>155.84415584415584</v>
      </c>
      <c r="L25" s="20">
        <f t="shared" si="2"/>
        <v>-0.26800472255017715</v>
      </c>
      <c r="M25" s="12">
        <f t="shared" si="3"/>
        <v>-57.05906996229578</v>
      </c>
      <c r="N25" s="13">
        <v>1.78</v>
      </c>
      <c r="O25" s="14">
        <f t="shared" si="5"/>
        <v>0.89</v>
      </c>
      <c r="P25" s="19">
        <f t="shared" si="4"/>
        <v>-0.43000000000000005</v>
      </c>
    </row>
    <row r="26" spans="1:16" x14ac:dyDescent="0.2">
      <c r="A26" s="7" t="s">
        <v>61</v>
      </c>
      <c r="B26" s="7" t="s">
        <v>62</v>
      </c>
      <c r="C26" s="8">
        <v>44159</v>
      </c>
      <c r="D26" s="7">
        <v>300</v>
      </c>
      <c r="E26" s="16">
        <v>1.55</v>
      </c>
      <c r="F26" s="9">
        <v>1.19</v>
      </c>
      <c r="G26" s="10">
        <f t="shared" si="0"/>
        <v>230.32258064516128</v>
      </c>
      <c r="H26" s="24">
        <v>1.02</v>
      </c>
      <c r="I26" s="7">
        <v>0</v>
      </c>
      <c r="J26" s="16">
        <f>J102</f>
        <v>1.54</v>
      </c>
      <c r="K26" s="10">
        <f t="shared" si="1"/>
        <v>198.7012987012987</v>
      </c>
      <c r="L26" s="20">
        <f t="shared" si="2"/>
        <v>-0.13729128014842298</v>
      </c>
      <c r="M26" s="12">
        <f t="shared" si="3"/>
        <v>-31.621281943862584</v>
      </c>
      <c r="N26" s="13">
        <v>1.25</v>
      </c>
      <c r="O26" s="14">
        <f t="shared" si="5"/>
        <v>0.625</v>
      </c>
      <c r="P26" s="19">
        <f t="shared" si="4"/>
        <v>-0.56499999999999995</v>
      </c>
    </row>
    <row r="27" spans="1:16" x14ac:dyDescent="0.2">
      <c r="A27" s="7" t="s">
        <v>63</v>
      </c>
      <c r="B27" s="7" t="s">
        <v>64</v>
      </c>
      <c r="C27" s="8">
        <v>44175</v>
      </c>
      <c r="D27" s="7">
        <v>1200</v>
      </c>
      <c r="E27" s="16">
        <v>1.55</v>
      </c>
      <c r="F27" s="9">
        <v>0.3</v>
      </c>
      <c r="G27" s="10">
        <f t="shared" si="0"/>
        <v>232.25806451612902</v>
      </c>
      <c r="H27" s="17">
        <v>0.245</v>
      </c>
      <c r="I27" s="7">
        <v>0</v>
      </c>
      <c r="J27" s="16">
        <f>J102</f>
        <v>1.54</v>
      </c>
      <c r="K27" s="10">
        <f t="shared" si="1"/>
        <v>190.90909090909091</v>
      </c>
      <c r="L27" s="20">
        <f t="shared" si="2"/>
        <v>-0.17803030303030301</v>
      </c>
      <c r="M27" s="12">
        <f t="shared" si="3"/>
        <v>-41.348973607038118</v>
      </c>
      <c r="N27" s="13">
        <v>0.3</v>
      </c>
      <c r="O27" s="14">
        <f t="shared" si="5"/>
        <v>0.15</v>
      </c>
      <c r="P27" s="19">
        <f t="shared" si="4"/>
        <v>-0.15</v>
      </c>
    </row>
    <row r="28" spans="1:16" x14ac:dyDescent="0.2">
      <c r="A28" s="7" t="s">
        <v>65</v>
      </c>
      <c r="B28" s="7" t="s">
        <v>66</v>
      </c>
      <c r="C28" s="8">
        <v>44175</v>
      </c>
      <c r="D28" s="7">
        <v>350</v>
      </c>
      <c r="E28" s="16">
        <v>1.55</v>
      </c>
      <c r="F28" s="9">
        <v>1</v>
      </c>
      <c r="G28" s="10">
        <f t="shared" si="0"/>
        <v>225.80645161290323</v>
      </c>
      <c r="H28" s="17">
        <v>1.22</v>
      </c>
      <c r="I28" s="7">
        <v>0</v>
      </c>
      <c r="J28" s="16">
        <f>J102</f>
        <v>1.54</v>
      </c>
      <c r="K28" s="10">
        <f t="shared" si="1"/>
        <v>277.27272727272725</v>
      </c>
      <c r="L28" s="18">
        <f t="shared" si="2"/>
        <v>0.2279220779220778</v>
      </c>
      <c r="M28" s="12">
        <f t="shared" si="3"/>
        <v>51.466275659824021</v>
      </c>
      <c r="N28" s="13">
        <v>1.58</v>
      </c>
      <c r="O28" s="14">
        <f t="shared" si="5"/>
        <v>0.79</v>
      </c>
      <c r="P28" s="19">
        <f t="shared" si="4"/>
        <v>-0.20999999999999996</v>
      </c>
    </row>
    <row r="29" spans="1:16" x14ac:dyDescent="0.2">
      <c r="A29" s="7" t="s">
        <v>67</v>
      </c>
      <c r="B29" s="7" t="s">
        <v>68</v>
      </c>
      <c r="C29" s="8">
        <v>44203</v>
      </c>
      <c r="D29" s="7">
        <v>300</v>
      </c>
      <c r="E29" s="16">
        <v>1.56</v>
      </c>
      <c r="F29" s="9">
        <v>1.1200000000000001</v>
      </c>
      <c r="G29" s="10">
        <f t="shared" si="0"/>
        <v>215.38461538461542</v>
      </c>
      <c r="H29" s="22">
        <v>1.19</v>
      </c>
      <c r="I29" s="7">
        <v>0</v>
      </c>
      <c r="J29" s="16">
        <f>J102</f>
        <v>1.54</v>
      </c>
      <c r="K29" s="10">
        <f t="shared" si="1"/>
        <v>231.81818181818181</v>
      </c>
      <c r="L29" s="18">
        <f t="shared" si="2"/>
        <v>7.6298701298701116E-2</v>
      </c>
      <c r="M29" s="12">
        <f t="shared" si="3"/>
        <v>16.433566433566398</v>
      </c>
      <c r="N29" s="13">
        <v>1.1200000000000001</v>
      </c>
      <c r="O29" s="14">
        <f t="shared" si="5"/>
        <v>0.56000000000000005</v>
      </c>
      <c r="P29" s="19">
        <f t="shared" si="4"/>
        <v>-0.56000000000000005</v>
      </c>
    </row>
    <row r="30" spans="1:16" x14ac:dyDescent="0.2">
      <c r="A30" s="7" t="s">
        <v>69</v>
      </c>
      <c r="B30" s="7" t="s">
        <v>70</v>
      </c>
      <c r="C30" s="8">
        <v>44216</v>
      </c>
      <c r="D30" s="7">
        <v>300</v>
      </c>
      <c r="E30" s="16">
        <v>1.55</v>
      </c>
      <c r="F30" s="9">
        <v>1.59</v>
      </c>
      <c r="G30" s="10">
        <f t="shared" si="0"/>
        <v>307.74193548387098</v>
      </c>
      <c r="H30" s="7">
        <v>1.47</v>
      </c>
      <c r="I30" s="7">
        <v>0</v>
      </c>
      <c r="J30" s="16">
        <f>J102</f>
        <v>1.54</v>
      </c>
      <c r="K30" s="10">
        <f t="shared" si="1"/>
        <v>286.36363636363632</v>
      </c>
      <c r="L30" s="20">
        <f t="shared" si="2"/>
        <v>-6.9468267581475299E-2</v>
      </c>
      <c r="M30" s="12">
        <f t="shared" si="3"/>
        <v>-21.378299120234658</v>
      </c>
      <c r="N30" s="13">
        <v>1.65</v>
      </c>
      <c r="O30" s="14">
        <f t="shared" si="5"/>
        <v>0.82499999999999996</v>
      </c>
      <c r="P30" s="19">
        <f t="shared" si="4"/>
        <v>-0.76500000000000012</v>
      </c>
    </row>
    <row r="31" spans="1:16" x14ac:dyDescent="0.2">
      <c r="A31" s="2" t="s">
        <v>71</v>
      </c>
      <c r="B31" s="7"/>
      <c r="C31" s="8"/>
      <c r="D31" s="7"/>
      <c r="E31" s="16"/>
      <c r="F31" s="9"/>
      <c r="G31" s="10"/>
      <c r="H31" s="7"/>
      <c r="I31" s="7"/>
      <c r="J31" s="7"/>
      <c r="K31" s="10"/>
      <c r="L31" s="11"/>
      <c r="M31" s="12"/>
      <c r="N31" s="13"/>
      <c r="O31" s="14"/>
      <c r="P31" s="15"/>
    </row>
    <row r="32" spans="1:16" x14ac:dyDescent="0.2">
      <c r="A32" s="7" t="s">
        <v>72</v>
      </c>
      <c r="B32" s="7" t="s">
        <v>73</v>
      </c>
      <c r="C32" s="8">
        <v>43906</v>
      </c>
      <c r="D32" s="7">
        <v>900</v>
      </c>
      <c r="E32" s="16">
        <v>1.1200000000000001</v>
      </c>
      <c r="F32" s="9">
        <v>2.5</v>
      </c>
      <c r="G32" s="10">
        <f t="shared" si="0"/>
        <v>2008.9285714285713</v>
      </c>
      <c r="H32" s="22">
        <v>3.37</v>
      </c>
      <c r="I32" s="22">
        <f>[1]Dividend!P7</f>
        <v>0.39</v>
      </c>
      <c r="J32" s="7">
        <f>J101</f>
        <v>1.2076</v>
      </c>
      <c r="K32" s="10">
        <f t="shared" si="1"/>
        <v>2802.2524014574365</v>
      </c>
      <c r="L32" s="18">
        <f t="shared" si="2"/>
        <v>0.39489897316992401</v>
      </c>
      <c r="M32" s="12">
        <f t="shared" si="3"/>
        <v>793.32383002886513</v>
      </c>
      <c r="N32" s="25">
        <v>3.76</v>
      </c>
      <c r="O32" s="14">
        <f>(N32+I32)*0.75</f>
        <v>3.1124999999999998</v>
      </c>
      <c r="P32" s="23">
        <f t="shared" si="4"/>
        <v>0.61249999999999982</v>
      </c>
    </row>
    <row r="33" spans="1:16" x14ac:dyDescent="0.2">
      <c r="A33" s="7" t="s">
        <v>74</v>
      </c>
      <c r="B33" s="7" t="s">
        <v>75</v>
      </c>
      <c r="C33" s="8">
        <v>44103</v>
      </c>
      <c r="D33" s="7">
        <v>750</v>
      </c>
      <c r="E33" s="16">
        <v>1.175</v>
      </c>
      <c r="F33" s="9">
        <v>5.03</v>
      </c>
      <c r="G33" s="10">
        <f t="shared" si="0"/>
        <v>3210.6382978723404</v>
      </c>
      <c r="H33" s="22">
        <v>4.91</v>
      </c>
      <c r="I33" s="22">
        <f>[1]Dividend!P8</f>
        <v>0.18</v>
      </c>
      <c r="J33" s="16">
        <f>J101</f>
        <v>1.2076</v>
      </c>
      <c r="K33" s="10">
        <f t="shared" si="1"/>
        <v>3161.2288837363362</v>
      </c>
      <c r="L33" s="20">
        <f>(K33-G33)/G33</f>
        <v>-1.5389280744812446E-2</v>
      </c>
      <c r="M33" s="12">
        <f t="shared" si="3"/>
        <v>-49.409414136004216</v>
      </c>
      <c r="N33" s="25">
        <v>5.23</v>
      </c>
      <c r="O33" s="14">
        <f>(N33+I33)*0.75</f>
        <v>4.0575000000000001</v>
      </c>
      <c r="P33" s="19">
        <f t="shared" si="4"/>
        <v>-0.97250000000000014</v>
      </c>
    </row>
    <row r="34" spans="1:16" x14ac:dyDescent="0.2">
      <c r="A34" s="7" t="s">
        <v>76</v>
      </c>
      <c r="B34" s="7" t="s">
        <v>77</v>
      </c>
      <c r="C34" s="8">
        <v>44137</v>
      </c>
      <c r="D34" s="7">
        <v>30</v>
      </c>
      <c r="E34" s="16">
        <v>1.1639999999999999</v>
      </c>
      <c r="F34" s="9">
        <v>36.47</v>
      </c>
      <c r="G34" s="10">
        <f t="shared" si="0"/>
        <v>939.94845360824741</v>
      </c>
      <c r="H34" s="22">
        <v>43.6</v>
      </c>
      <c r="I34" s="22">
        <f>[1]Dividend!P11</f>
        <v>0.86</v>
      </c>
      <c r="J34" s="16">
        <f>J101</f>
        <v>1.2076</v>
      </c>
      <c r="K34" s="10">
        <f t="shared" si="1"/>
        <v>1104.5048029148725</v>
      </c>
      <c r="L34" s="18">
        <f t="shared" si="2"/>
        <v>0.17506954628727867</v>
      </c>
      <c r="M34" s="12">
        <f t="shared" si="3"/>
        <v>164.55634930662507</v>
      </c>
      <c r="N34" s="25">
        <v>43.78</v>
      </c>
      <c r="O34" s="14">
        <f>(N34+I34)*0.75</f>
        <v>33.480000000000004</v>
      </c>
      <c r="P34" s="19">
        <f t="shared" si="4"/>
        <v>-2.9899999999999949</v>
      </c>
    </row>
    <row r="35" spans="1:16" x14ac:dyDescent="0.2">
      <c r="A35" s="7" t="s">
        <v>78</v>
      </c>
      <c r="B35" s="7" t="s">
        <v>79</v>
      </c>
      <c r="C35" s="8">
        <v>44165</v>
      </c>
      <c r="D35" s="7">
        <v>100</v>
      </c>
      <c r="E35" s="16">
        <v>1.1944999999999999</v>
      </c>
      <c r="F35" s="9">
        <v>33.25</v>
      </c>
      <c r="G35" s="10">
        <f t="shared" si="0"/>
        <v>2783.5914608622857</v>
      </c>
      <c r="H35" s="22">
        <v>31.25</v>
      </c>
      <c r="I35" s="22">
        <f>[1]Dividend!P12</f>
        <v>0.54</v>
      </c>
      <c r="J35" s="16">
        <f>J101</f>
        <v>1.2076</v>
      </c>
      <c r="K35" s="10">
        <f t="shared" si="1"/>
        <v>2632.4942033786019</v>
      </c>
      <c r="L35" s="20">
        <f t="shared" si="2"/>
        <v>-5.4281405733612093E-2</v>
      </c>
      <c r="M35" s="12">
        <f t="shared" si="3"/>
        <v>-151.09725748368373</v>
      </c>
      <c r="N35" s="25">
        <v>33.33</v>
      </c>
      <c r="O35" s="14">
        <f>(N35+I35)*0.75</f>
        <v>25.402499999999996</v>
      </c>
      <c r="P35" s="19">
        <f>O35-F35</f>
        <v>-7.8475000000000037</v>
      </c>
    </row>
    <row r="36" spans="1:16" x14ac:dyDescent="0.2">
      <c r="A36" s="2" t="s">
        <v>80</v>
      </c>
      <c r="B36" s="7"/>
      <c r="C36" s="8"/>
      <c r="D36" s="7"/>
      <c r="E36" s="16"/>
      <c r="F36" s="9"/>
      <c r="G36" s="26"/>
      <c r="H36" s="27"/>
      <c r="I36" s="7"/>
      <c r="J36" s="7"/>
      <c r="K36" s="28"/>
      <c r="L36" s="11"/>
      <c r="M36" s="12"/>
      <c r="N36" s="25"/>
      <c r="O36" s="14"/>
      <c r="P36" s="15"/>
    </row>
    <row r="37" spans="1:16" x14ac:dyDescent="0.2">
      <c r="A37" s="7" t="s">
        <v>81</v>
      </c>
      <c r="B37" s="7" t="s">
        <v>82</v>
      </c>
      <c r="C37" s="8">
        <v>44229</v>
      </c>
      <c r="D37" s="7">
        <v>150</v>
      </c>
      <c r="E37" s="16">
        <v>1.55</v>
      </c>
      <c r="F37" s="9">
        <v>2</v>
      </c>
      <c r="G37" s="10">
        <f t="shared" si="0"/>
        <v>193.54838709677418</v>
      </c>
      <c r="H37" s="27">
        <v>2.76</v>
      </c>
      <c r="I37" s="7">
        <v>0</v>
      </c>
      <c r="J37" s="16">
        <f>J102</f>
        <v>1.54</v>
      </c>
      <c r="K37" s="10">
        <f>((H37+I37)/J37)*D37</f>
        <v>268.83116883116884</v>
      </c>
      <c r="L37" s="18">
        <f>(K37-G37)/G37</f>
        <v>0.38896103896103912</v>
      </c>
      <c r="M37" s="12">
        <f t="shared" ref="M37:M39" si="6">K37-G37</f>
        <v>75.282781734394661</v>
      </c>
      <c r="N37" s="13">
        <v>3</v>
      </c>
      <c r="O37" s="14">
        <f>(N37+I37)*0.75</f>
        <v>2.25</v>
      </c>
      <c r="P37" s="23">
        <f>O37-F37</f>
        <v>0.25</v>
      </c>
    </row>
    <row r="38" spans="1:16" x14ac:dyDescent="0.2">
      <c r="A38" s="7" t="s">
        <v>83</v>
      </c>
      <c r="B38" s="7" t="s">
        <v>84</v>
      </c>
      <c r="C38" s="8">
        <v>44229</v>
      </c>
      <c r="D38" s="7">
        <v>150</v>
      </c>
      <c r="E38" s="16">
        <v>1.2022999999999999</v>
      </c>
      <c r="F38" s="9">
        <v>1.74</v>
      </c>
      <c r="G38" s="10">
        <f t="shared" si="0"/>
        <v>217.0839224819097</v>
      </c>
      <c r="H38" s="27">
        <v>2.65</v>
      </c>
      <c r="I38" s="7">
        <v>0</v>
      </c>
      <c r="J38" s="16">
        <f>J101</f>
        <v>1.2076</v>
      </c>
      <c r="K38" s="10">
        <f>((H38+I38)/J38)*D38</f>
        <v>329.16528651871477</v>
      </c>
      <c r="L38" s="18">
        <f>(K38-G38)/G38</f>
        <v>0.51630430644233993</v>
      </c>
      <c r="M38" s="12">
        <f t="shared" si="6"/>
        <v>112.08136403680507</v>
      </c>
      <c r="N38" s="13">
        <v>2.5</v>
      </c>
      <c r="O38" s="14">
        <f>(N38+I38)*0.75</f>
        <v>1.875</v>
      </c>
      <c r="P38" s="23">
        <f>O38-F38</f>
        <v>0.13500000000000001</v>
      </c>
    </row>
    <row r="39" spans="1:16" x14ac:dyDescent="0.2">
      <c r="A39" s="7" t="s">
        <v>85</v>
      </c>
      <c r="B39" s="7" t="s">
        <v>86</v>
      </c>
      <c r="C39" s="8">
        <v>44253</v>
      </c>
      <c r="D39" s="7">
        <v>250</v>
      </c>
      <c r="E39" s="16">
        <v>1.54</v>
      </c>
      <c r="F39" s="9">
        <v>1.05</v>
      </c>
      <c r="G39" s="10">
        <f t="shared" si="0"/>
        <v>170.45454545454544</v>
      </c>
      <c r="H39" s="27">
        <v>1.05</v>
      </c>
      <c r="I39" s="7">
        <v>0</v>
      </c>
      <c r="J39" s="16">
        <f>J102</f>
        <v>1.54</v>
      </c>
      <c r="K39" s="10">
        <f>((H39+I39)/J39)*D39</f>
        <v>170.45454545454547</v>
      </c>
      <c r="L39" s="18">
        <f>(K39-G39)/G39</f>
        <v>1.6674069532503687E-16</v>
      </c>
      <c r="M39" s="12">
        <f t="shared" si="6"/>
        <v>0</v>
      </c>
      <c r="N39" s="13">
        <v>1.05</v>
      </c>
      <c r="O39" s="14">
        <f>(N39+I39)*0.5</f>
        <v>0.52500000000000002</v>
      </c>
      <c r="P39" s="23">
        <f>O39-F39</f>
        <v>-0.52500000000000002</v>
      </c>
    </row>
    <row r="40" spans="1:16" x14ac:dyDescent="0.2">
      <c r="A40" s="2" t="s">
        <v>87</v>
      </c>
      <c r="B40" s="7"/>
      <c r="C40" s="8"/>
      <c r="D40" s="7"/>
      <c r="E40" s="16"/>
      <c r="F40" s="7"/>
      <c r="G40" s="10"/>
      <c r="H40" s="25"/>
      <c r="I40" s="7"/>
      <c r="J40" s="7"/>
      <c r="K40" s="10"/>
      <c r="L40" s="11"/>
      <c r="M40" s="12">
        <f t="shared" si="3"/>
        <v>0</v>
      </c>
      <c r="N40" s="25"/>
      <c r="O40" s="14"/>
      <c r="P40" s="15">
        <f t="shared" si="4"/>
        <v>0</v>
      </c>
    </row>
    <row r="41" spans="1:16" x14ac:dyDescent="0.2">
      <c r="A41" s="7" t="s">
        <v>88</v>
      </c>
      <c r="B41" s="7" t="s">
        <v>89</v>
      </c>
      <c r="C41" s="8">
        <v>43657</v>
      </c>
      <c r="D41" s="7">
        <v>26</v>
      </c>
      <c r="E41" s="16">
        <v>1.1299999999999999</v>
      </c>
      <c r="F41" s="7">
        <v>23.2</v>
      </c>
      <c r="G41" s="10">
        <f t="shared" si="0"/>
        <v>533.80530973451323</v>
      </c>
      <c r="H41" s="13">
        <v>31.39</v>
      </c>
      <c r="I41" s="22">
        <f>[1]Dividend!P6</f>
        <v>3.89</v>
      </c>
      <c r="J41" s="7">
        <f>J101</f>
        <v>1.2076</v>
      </c>
      <c r="K41" s="10">
        <f t="shared" si="1"/>
        <v>759.5892679695263</v>
      </c>
      <c r="L41" s="18">
        <f t="shared" si="2"/>
        <v>0.42297061141506098</v>
      </c>
      <c r="M41" s="12">
        <f t="shared" si="3"/>
        <v>225.78395823501307</v>
      </c>
      <c r="N41" s="25">
        <v>38.07</v>
      </c>
      <c r="O41" s="14">
        <f>(N41+I41)*0.5</f>
        <v>20.98</v>
      </c>
      <c r="P41" s="19">
        <f>O41-F41</f>
        <v>-2.2199999999999989</v>
      </c>
    </row>
    <row r="42" spans="1:16" x14ac:dyDescent="0.2">
      <c r="A42" s="7" t="s">
        <v>90</v>
      </c>
      <c r="B42" s="7" t="s">
        <v>91</v>
      </c>
      <c r="C42" s="8">
        <v>43874</v>
      </c>
      <c r="D42" s="7">
        <v>600</v>
      </c>
      <c r="E42" s="16">
        <v>1.44</v>
      </c>
      <c r="F42" s="7">
        <v>0.37</v>
      </c>
      <c r="G42" s="10">
        <f t="shared" si="0"/>
        <v>154.16666666666669</v>
      </c>
      <c r="H42" s="13">
        <v>0.64</v>
      </c>
      <c r="I42" s="7">
        <v>0</v>
      </c>
      <c r="J42" s="16">
        <f>J102</f>
        <v>1.54</v>
      </c>
      <c r="K42" s="10">
        <f t="shared" si="1"/>
        <v>249.35064935064932</v>
      </c>
      <c r="L42" s="18">
        <f t="shared" si="2"/>
        <v>0.61740961740961697</v>
      </c>
      <c r="M42" s="12">
        <f t="shared" si="3"/>
        <v>95.183982683982634</v>
      </c>
      <c r="N42" s="13">
        <v>0.62</v>
      </c>
      <c r="O42" s="14">
        <f>(N42+I42)*0.33</f>
        <v>0.2046</v>
      </c>
      <c r="P42" s="19">
        <f t="shared" si="4"/>
        <v>-0.16539999999999999</v>
      </c>
    </row>
    <row r="43" spans="1:16" x14ac:dyDescent="0.2">
      <c r="A43" s="7" t="s">
        <v>92</v>
      </c>
      <c r="B43" s="7" t="s">
        <v>93</v>
      </c>
      <c r="C43" s="8">
        <v>44173</v>
      </c>
      <c r="D43" s="7">
        <v>500</v>
      </c>
      <c r="E43" s="16">
        <v>1.55</v>
      </c>
      <c r="F43" s="7">
        <v>0.63</v>
      </c>
      <c r="G43" s="10">
        <f t="shared" si="0"/>
        <v>203.2258064516129</v>
      </c>
      <c r="H43" s="13">
        <v>0.89</v>
      </c>
      <c r="I43" s="7">
        <v>0</v>
      </c>
      <c r="J43" s="16">
        <f>J102</f>
        <v>1.54</v>
      </c>
      <c r="K43" s="10">
        <f t="shared" si="1"/>
        <v>288.96103896103898</v>
      </c>
      <c r="L43" s="18">
        <f t="shared" si="2"/>
        <v>0.42187177901463629</v>
      </c>
      <c r="M43" s="12">
        <f t="shared" si="3"/>
        <v>85.735232509426083</v>
      </c>
      <c r="N43" s="25">
        <v>0.8</v>
      </c>
      <c r="O43" s="14">
        <f>(N43+I43)*0.33</f>
        <v>0.26400000000000001</v>
      </c>
      <c r="P43" s="19">
        <f>O43-F43</f>
        <v>-0.36599999999999999</v>
      </c>
    </row>
    <row r="44" spans="1:16" x14ac:dyDescent="0.2">
      <c r="A44" s="7" t="s">
        <v>94</v>
      </c>
      <c r="B44" s="7" t="s">
        <v>95</v>
      </c>
      <c r="C44" s="8">
        <v>44187</v>
      </c>
      <c r="D44" s="7">
        <v>100</v>
      </c>
      <c r="E44" s="16">
        <v>1.57</v>
      </c>
      <c r="F44" s="22">
        <v>3</v>
      </c>
      <c r="G44" s="10">
        <f t="shared" si="0"/>
        <v>191.08280254777068</v>
      </c>
      <c r="H44" s="13">
        <v>4.75</v>
      </c>
      <c r="I44" s="7">
        <v>0</v>
      </c>
      <c r="J44" s="16">
        <f>J102</f>
        <v>1.54</v>
      </c>
      <c r="K44" s="10">
        <f>((H44+I44)/J44)*D44</f>
        <v>308.44155844155841</v>
      </c>
      <c r="L44" s="18">
        <f>(K44-G44)/G44</f>
        <v>0.61417748917748916</v>
      </c>
      <c r="M44" s="12">
        <f>K44-G44</f>
        <v>117.35875589378773</v>
      </c>
      <c r="N44" s="13">
        <v>5.3</v>
      </c>
      <c r="O44" s="14">
        <f>(N44+I44)*0.5</f>
        <v>2.65</v>
      </c>
      <c r="P44" s="19">
        <f>O44-F44</f>
        <v>-0.35000000000000009</v>
      </c>
    </row>
    <row r="45" spans="1:16" x14ac:dyDescent="0.2">
      <c r="A45" s="7" t="s">
        <v>96</v>
      </c>
      <c r="B45" s="7" t="s">
        <v>97</v>
      </c>
      <c r="C45" s="8">
        <v>44246</v>
      </c>
      <c r="D45" s="7">
        <v>1000</v>
      </c>
      <c r="E45" s="16">
        <v>1.54</v>
      </c>
      <c r="F45" s="22">
        <v>0.34</v>
      </c>
      <c r="G45" s="10">
        <f t="shared" si="0"/>
        <v>220.77922077922076</v>
      </c>
      <c r="H45" s="13">
        <v>0.32500000000000001</v>
      </c>
      <c r="I45" s="7">
        <v>0</v>
      </c>
      <c r="J45" s="16">
        <f>J102</f>
        <v>1.54</v>
      </c>
      <c r="K45" s="10">
        <f>((H45+I45)/J45)*D45</f>
        <v>211.03896103896105</v>
      </c>
      <c r="L45" s="20">
        <f>(K45-G45)/G45</f>
        <v>-4.4117647058823428E-2</v>
      </c>
      <c r="M45" s="12">
        <f>K45-G45</f>
        <v>-9.7402597402597166</v>
      </c>
      <c r="N45" s="13">
        <v>0.34</v>
      </c>
      <c r="O45" s="14">
        <f>(N45+I45)*0.33</f>
        <v>0.11220000000000001</v>
      </c>
      <c r="P45" s="19">
        <f>O45-F45</f>
        <v>-0.2278</v>
      </c>
    </row>
    <row r="46" spans="1:16" x14ac:dyDescent="0.2">
      <c r="A46" s="2" t="s">
        <v>98</v>
      </c>
      <c r="B46" s="7"/>
      <c r="C46" s="8"/>
      <c r="D46" s="7"/>
      <c r="E46" s="16"/>
      <c r="F46" s="7"/>
      <c r="G46" s="10"/>
      <c r="H46" s="13"/>
      <c r="I46" s="7"/>
      <c r="J46" s="16"/>
      <c r="K46" s="10"/>
      <c r="L46" s="18"/>
      <c r="M46" s="12"/>
      <c r="N46" s="25"/>
      <c r="O46" s="14"/>
      <c r="P46" s="19"/>
    </row>
    <row r="47" spans="1:16" x14ac:dyDescent="0.2">
      <c r="A47" s="25" t="s">
        <v>99</v>
      </c>
      <c r="B47" s="7" t="s">
        <v>100</v>
      </c>
      <c r="C47" s="8">
        <v>44033</v>
      </c>
      <c r="D47" s="7">
        <v>1</v>
      </c>
      <c r="E47" s="16">
        <v>1.145</v>
      </c>
      <c r="F47" s="9">
        <v>-261</v>
      </c>
      <c r="G47" s="10">
        <f t="shared" ref="G47" si="7">(F47*D47)/E47</f>
        <v>-227.94759825327512</v>
      </c>
      <c r="H47" s="29">
        <v>-125</v>
      </c>
      <c r="I47" s="7">
        <v>0</v>
      </c>
      <c r="J47" s="16">
        <f>J101</f>
        <v>1.2076</v>
      </c>
      <c r="K47" s="10">
        <f>((H47+I47)/J47)*D47</f>
        <v>-103.51109638953295</v>
      </c>
      <c r="L47" s="18">
        <f>-(K47-G47)/G47</f>
        <v>0.54589959629879226</v>
      </c>
      <c r="M47" s="12">
        <f t="shared" ref="M47:M48" si="8">K47-G47</f>
        <v>124.43650186374217</v>
      </c>
      <c r="N47" s="25"/>
      <c r="O47" s="14"/>
      <c r="P47" s="19" t="s">
        <v>101</v>
      </c>
    </row>
    <row r="48" spans="1:16" x14ac:dyDescent="0.2">
      <c r="A48" s="25" t="s">
        <v>102</v>
      </c>
      <c r="B48" s="7" t="s">
        <v>27</v>
      </c>
      <c r="C48" s="8">
        <v>44946</v>
      </c>
      <c r="D48" s="7">
        <v>2</v>
      </c>
      <c r="E48" s="16">
        <v>1.2199</v>
      </c>
      <c r="F48" s="7">
        <v>-240</v>
      </c>
      <c r="G48" s="10">
        <f>(F48*D48)/E48</f>
        <v>-393.47487498975329</v>
      </c>
      <c r="H48" s="30">
        <v>-280</v>
      </c>
      <c r="I48" s="7">
        <v>0</v>
      </c>
      <c r="J48" s="16">
        <f>J101</f>
        <v>1.2076</v>
      </c>
      <c r="K48" s="10">
        <f>((H48+I48)/J48)*D48</f>
        <v>-463.72971182510764</v>
      </c>
      <c r="L48" s="20">
        <f>-(K48-G48)/G48</f>
        <v>-0.17854974053218495</v>
      </c>
      <c r="M48" s="12">
        <f t="shared" si="8"/>
        <v>-70.254836835354354</v>
      </c>
      <c r="N48" s="25"/>
      <c r="O48" s="14"/>
      <c r="P48" s="19"/>
    </row>
    <row r="49" spans="1:16" x14ac:dyDescent="0.2">
      <c r="A49" s="2" t="s">
        <v>103</v>
      </c>
      <c r="B49" s="7"/>
      <c r="C49" s="8"/>
      <c r="D49" s="7"/>
      <c r="E49" s="16"/>
      <c r="F49" s="7"/>
      <c r="G49" s="31"/>
      <c r="H49" s="32"/>
      <c r="I49" s="33"/>
      <c r="J49" s="34"/>
      <c r="K49" s="35"/>
      <c r="L49" s="20"/>
      <c r="M49" s="12"/>
      <c r="N49" s="25"/>
      <c r="O49" s="14"/>
      <c r="P49" s="19"/>
    </row>
    <row r="50" spans="1:16" x14ac:dyDescent="0.2">
      <c r="A50" s="7" t="s">
        <v>104</v>
      </c>
      <c r="B50" s="7" t="s">
        <v>105</v>
      </c>
      <c r="C50" s="8">
        <v>44202</v>
      </c>
      <c r="D50" s="7">
        <v>0.8</v>
      </c>
      <c r="E50" s="16">
        <v>1</v>
      </c>
      <c r="F50" s="36">
        <v>135</v>
      </c>
      <c r="G50" s="10">
        <f t="shared" ref="G50:G52" si="9">(F50*D50)/E50</f>
        <v>108</v>
      </c>
      <c r="H50" s="13">
        <v>145.12</v>
      </c>
      <c r="I50" s="7">
        <v>0</v>
      </c>
      <c r="J50" s="16">
        <v>1</v>
      </c>
      <c r="K50" s="10">
        <f>((H50+I50)/J50)*D50</f>
        <v>116.096</v>
      </c>
      <c r="L50" s="18">
        <f t="shared" ref="L50:L52" si="10">(K50-G50)/G50</f>
        <v>7.4962962962962995E-2</v>
      </c>
      <c r="M50" s="12">
        <f t="shared" ref="M50:M52" si="11">K50-G50</f>
        <v>8.0960000000000036</v>
      </c>
      <c r="N50" s="25"/>
      <c r="O50" s="14"/>
      <c r="P50" s="19"/>
    </row>
    <row r="51" spans="1:16" x14ac:dyDescent="0.2">
      <c r="A51" s="7" t="s">
        <v>106</v>
      </c>
      <c r="B51" s="7" t="s">
        <v>107</v>
      </c>
      <c r="C51" s="8">
        <v>44243</v>
      </c>
      <c r="D51" s="7">
        <v>2.75</v>
      </c>
      <c r="E51" s="16">
        <v>1</v>
      </c>
      <c r="F51" s="36">
        <v>35.270000000000003</v>
      </c>
      <c r="G51" s="10">
        <f t="shared" si="9"/>
        <v>96.992500000000007</v>
      </c>
      <c r="H51" s="13">
        <v>29.76</v>
      </c>
      <c r="I51" s="7">
        <v>0</v>
      </c>
      <c r="J51" s="16">
        <v>1</v>
      </c>
      <c r="K51" s="10">
        <f>((H51+I51)/J51)*D51</f>
        <v>81.84</v>
      </c>
      <c r="L51" s="20">
        <f t="shared" si="10"/>
        <v>-0.15622341933654665</v>
      </c>
      <c r="M51" s="12">
        <f t="shared" si="11"/>
        <v>-15.152500000000003</v>
      </c>
      <c r="N51" s="25"/>
      <c r="O51" s="14"/>
      <c r="P51" s="19"/>
    </row>
    <row r="52" spans="1:16" x14ac:dyDescent="0.2">
      <c r="A52" s="7" t="s">
        <v>108</v>
      </c>
      <c r="B52" s="7" t="s">
        <v>109</v>
      </c>
      <c r="C52" s="8">
        <v>44249</v>
      </c>
      <c r="D52" s="7">
        <v>8</v>
      </c>
      <c r="E52" s="16">
        <v>1</v>
      </c>
      <c r="F52" s="36">
        <v>12.22</v>
      </c>
      <c r="G52" s="10">
        <f t="shared" si="9"/>
        <v>97.76</v>
      </c>
      <c r="H52" s="13">
        <v>10.17</v>
      </c>
      <c r="I52" s="7">
        <v>0</v>
      </c>
      <c r="J52" s="16">
        <v>1</v>
      </c>
      <c r="K52" s="10">
        <f>((H52+I52)/J52)*D52</f>
        <v>81.36</v>
      </c>
      <c r="L52" s="20">
        <f t="shared" si="10"/>
        <v>-0.16775777414075291</v>
      </c>
      <c r="M52" s="12">
        <f t="shared" si="11"/>
        <v>-16.400000000000006</v>
      </c>
      <c r="N52" s="25"/>
      <c r="O52" s="14"/>
      <c r="P52" s="19"/>
    </row>
    <row r="53" spans="1:16" x14ac:dyDescent="0.2">
      <c r="A53" s="2" t="s">
        <v>110</v>
      </c>
      <c r="B53" s="7"/>
      <c r="C53" s="8"/>
      <c r="D53" s="7"/>
      <c r="E53" s="7"/>
      <c r="F53" s="7"/>
      <c r="G53" s="10"/>
      <c r="H53" s="25"/>
      <c r="I53" s="7"/>
      <c r="J53" s="7"/>
      <c r="K53" s="10"/>
      <c r="L53" s="11"/>
      <c r="M53" s="12"/>
      <c r="N53" s="25"/>
      <c r="O53" s="14"/>
      <c r="P53" s="37"/>
    </row>
    <row r="54" spans="1:16" x14ac:dyDescent="0.2">
      <c r="A54" s="7" t="s">
        <v>111</v>
      </c>
      <c r="B54" s="7" t="s">
        <v>112</v>
      </c>
      <c r="C54" s="8">
        <v>43521</v>
      </c>
      <c r="D54" s="7">
        <v>10</v>
      </c>
      <c r="E54" s="16">
        <v>1.1399999999999999</v>
      </c>
      <c r="F54" s="9">
        <v>64.64</v>
      </c>
      <c r="G54" s="10">
        <f t="shared" si="0"/>
        <v>567.01754385964909</v>
      </c>
      <c r="H54" s="27">
        <v>195.39</v>
      </c>
      <c r="I54" s="22">
        <f>[1]Dividend!P5</f>
        <v>8.25</v>
      </c>
      <c r="J54" s="7">
        <f>J101</f>
        <v>1.2076</v>
      </c>
      <c r="K54" s="10">
        <f t="shared" si="1"/>
        <v>1686.319973501159</v>
      </c>
      <c r="L54" s="18">
        <f t="shared" ref="L54:L64" si="12">(K54-G54)/G54+1</f>
        <v>2.9740172799989502</v>
      </c>
      <c r="M54" s="38">
        <f>195.39*(1-N54)</f>
        <v>146.54249999999999</v>
      </c>
      <c r="N54" s="39">
        <v>0.25</v>
      </c>
      <c r="O54" s="14" t="s">
        <v>113</v>
      </c>
      <c r="P54" s="37">
        <v>2</v>
      </c>
    </row>
    <row r="55" spans="1:16" x14ac:dyDescent="0.2">
      <c r="A55" s="7" t="s">
        <v>114</v>
      </c>
      <c r="B55" s="7"/>
      <c r="C55" s="8">
        <v>44152</v>
      </c>
      <c r="D55" s="7">
        <v>0.1</v>
      </c>
      <c r="E55" s="16">
        <v>1</v>
      </c>
      <c r="F55" s="7">
        <v>8472.34</v>
      </c>
      <c r="G55" s="10">
        <f t="shared" si="0"/>
        <v>847.23400000000004</v>
      </c>
      <c r="H55" s="25">
        <v>39160.5</v>
      </c>
      <c r="I55" s="7">
        <v>0</v>
      </c>
      <c r="J55" s="16">
        <v>1</v>
      </c>
      <c r="K55" s="10">
        <f>((H55+I55)/J55)*D55</f>
        <v>3916.05</v>
      </c>
      <c r="L55" s="18">
        <f t="shared" si="12"/>
        <v>4.6221586952364992</v>
      </c>
      <c r="M55" s="38"/>
      <c r="N55" s="39"/>
      <c r="O55" s="14" t="s">
        <v>115</v>
      </c>
      <c r="P55" s="37">
        <v>1</v>
      </c>
    </row>
    <row r="56" spans="1:16" x14ac:dyDescent="0.2">
      <c r="A56" s="7" t="s">
        <v>116</v>
      </c>
      <c r="B56" s="7" t="s">
        <v>117</v>
      </c>
      <c r="C56" s="8">
        <v>43140</v>
      </c>
      <c r="D56" s="7">
        <v>20</v>
      </c>
      <c r="E56" s="16">
        <v>1.24</v>
      </c>
      <c r="F56" s="9">
        <v>13.5</v>
      </c>
      <c r="G56" s="10">
        <f t="shared" si="0"/>
        <v>217.74193548387098</v>
      </c>
      <c r="H56" s="27">
        <v>9.7100000000000009</v>
      </c>
      <c r="I56" s="7">
        <v>0</v>
      </c>
      <c r="J56" s="7">
        <f>J101</f>
        <v>1.2076</v>
      </c>
      <c r="K56" s="10">
        <f t="shared" si="1"/>
        <v>160.81483935077841</v>
      </c>
      <c r="L56" s="18">
        <f>(K56-G56)/G56+1</f>
        <v>0.73855703998135269</v>
      </c>
      <c r="M56" s="38">
        <f>9.71*(1-N56)</f>
        <v>7.2825000000000006</v>
      </c>
      <c r="N56" s="39">
        <v>0.25</v>
      </c>
      <c r="O56" s="40" t="s">
        <v>118</v>
      </c>
      <c r="P56" s="37">
        <v>1</v>
      </c>
    </row>
    <row r="57" spans="1:16" x14ac:dyDescent="0.2">
      <c r="A57" s="41" t="s">
        <v>119</v>
      </c>
      <c r="B57" s="41" t="s">
        <v>120</v>
      </c>
      <c r="C57" s="42">
        <v>43558</v>
      </c>
      <c r="D57" s="7">
        <v>60</v>
      </c>
      <c r="E57" s="16">
        <v>1.5</v>
      </c>
      <c r="F57" s="43">
        <v>4.9800000000000004</v>
      </c>
      <c r="G57" s="10">
        <f t="shared" si="0"/>
        <v>199.20000000000002</v>
      </c>
      <c r="H57" s="44">
        <v>6.25</v>
      </c>
      <c r="I57" s="7">
        <v>0</v>
      </c>
      <c r="J57" s="16">
        <f>J102</f>
        <v>1.54</v>
      </c>
      <c r="K57" s="10">
        <f t="shared" si="1"/>
        <v>243.50649350649348</v>
      </c>
      <c r="L57" s="18">
        <f t="shared" si="12"/>
        <v>1.2224221561570956</v>
      </c>
      <c r="M57" s="38">
        <f>6.25*(1-N57)</f>
        <v>4.6875</v>
      </c>
      <c r="N57" s="39">
        <v>0.25</v>
      </c>
      <c r="O57" s="40" t="s">
        <v>118</v>
      </c>
      <c r="P57" s="37">
        <v>2</v>
      </c>
    </row>
    <row r="58" spans="1:16" x14ac:dyDescent="0.2">
      <c r="A58" s="41" t="s">
        <v>121</v>
      </c>
      <c r="B58" s="41" t="s">
        <v>100</v>
      </c>
      <c r="C58" s="42">
        <v>43187</v>
      </c>
      <c r="D58" s="7">
        <v>22</v>
      </c>
      <c r="E58" s="16">
        <v>1.24</v>
      </c>
      <c r="F58" s="43">
        <v>12.22</v>
      </c>
      <c r="G58" s="10">
        <f t="shared" si="0"/>
        <v>216.80645161290326</v>
      </c>
      <c r="H58" s="44">
        <v>18.010000000000002</v>
      </c>
      <c r="I58" s="7">
        <v>0</v>
      </c>
      <c r="J58" s="7">
        <f>J101</f>
        <v>1.2076</v>
      </c>
      <c r="K58" s="10">
        <f t="shared" si="1"/>
        <v>328.10533289168603</v>
      </c>
      <c r="L58" s="18">
        <f t="shared" si="12"/>
        <v>1.5133559469784652</v>
      </c>
      <c r="M58" s="38">
        <f>18*(1-N58)</f>
        <v>13.5</v>
      </c>
      <c r="N58" s="39">
        <v>0.25</v>
      </c>
      <c r="O58" s="40" t="s">
        <v>118</v>
      </c>
      <c r="P58" s="37">
        <v>3</v>
      </c>
    </row>
    <row r="59" spans="1:16" x14ac:dyDescent="0.2">
      <c r="A59" s="7" t="s">
        <v>122</v>
      </c>
      <c r="B59" s="7" t="s">
        <v>123</v>
      </c>
      <c r="C59" s="8">
        <v>43683</v>
      </c>
      <c r="D59" s="7">
        <v>400</v>
      </c>
      <c r="E59" s="16">
        <v>1.49</v>
      </c>
      <c r="F59" s="45">
        <v>0.8</v>
      </c>
      <c r="G59" s="10">
        <f t="shared" si="0"/>
        <v>214.76510067114094</v>
      </c>
      <c r="H59" s="46">
        <v>0.89</v>
      </c>
      <c r="I59" s="7">
        <v>0</v>
      </c>
      <c r="J59" s="16">
        <f>J102</f>
        <v>1.54</v>
      </c>
      <c r="K59" s="10">
        <f t="shared" si="1"/>
        <v>231.16883116883119</v>
      </c>
      <c r="L59" s="18">
        <f t="shared" si="12"/>
        <v>1.0763798701298701</v>
      </c>
      <c r="M59" s="38">
        <f>0.89*(1-N59)</f>
        <v>0.66749999999999998</v>
      </c>
      <c r="N59" s="39">
        <v>0.25</v>
      </c>
      <c r="O59" s="40" t="s">
        <v>118</v>
      </c>
      <c r="P59" s="37">
        <v>4</v>
      </c>
    </row>
    <row r="60" spans="1:16" x14ac:dyDescent="0.2">
      <c r="A60" s="7" t="s">
        <v>124</v>
      </c>
      <c r="B60" s="7" t="s">
        <v>125</v>
      </c>
      <c r="C60" s="8">
        <v>43102</v>
      </c>
      <c r="D60" s="28">
        <v>8</v>
      </c>
      <c r="E60" s="47">
        <v>1.24</v>
      </c>
      <c r="F60" s="22">
        <v>150</v>
      </c>
      <c r="G60" s="10">
        <f>(F60*D60)/E60</f>
        <v>967.74193548387098</v>
      </c>
      <c r="H60" s="22">
        <v>107.02</v>
      </c>
      <c r="I60" s="48">
        <f>[1]Dividend!P3</f>
        <v>2.97</v>
      </c>
      <c r="J60" s="47">
        <f>J101</f>
        <v>1.2076</v>
      </c>
      <c r="K60" s="49">
        <f>((H60+I60)/J60)*D60</f>
        <v>728.65187148062273</v>
      </c>
      <c r="L60" s="18">
        <f t="shared" si="12"/>
        <v>0.75294026719664342</v>
      </c>
      <c r="M60" s="38">
        <f>107.02*(1-N60)</f>
        <v>80.265000000000001</v>
      </c>
      <c r="N60" s="39">
        <v>0.25</v>
      </c>
      <c r="O60" s="40" t="s">
        <v>118</v>
      </c>
      <c r="P60" s="37">
        <v>5</v>
      </c>
    </row>
    <row r="61" spans="1:16" x14ac:dyDescent="0.2">
      <c r="A61" s="7" t="s">
        <v>126</v>
      </c>
      <c r="B61" s="7" t="s">
        <v>27</v>
      </c>
      <c r="C61" s="8">
        <v>43102</v>
      </c>
      <c r="D61" s="28">
        <v>50</v>
      </c>
      <c r="E61" s="47">
        <v>1.24</v>
      </c>
      <c r="F61" s="7">
        <v>5.03</v>
      </c>
      <c r="G61" s="10">
        <f t="shared" ref="G61:G64" si="13">(F61*D61)/E61</f>
        <v>202.82258064516128</v>
      </c>
      <c r="H61" s="22">
        <v>6.05</v>
      </c>
      <c r="I61" s="48">
        <v>0</v>
      </c>
      <c r="J61" s="47">
        <f>J101</f>
        <v>1.2076</v>
      </c>
      <c r="K61" s="50">
        <f>((H61+I61)/J61)*D61</f>
        <v>250.49685326266973</v>
      </c>
      <c r="L61" s="18">
        <f t="shared" si="12"/>
        <v>1.2350540677761848</v>
      </c>
      <c r="M61" s="38">
        <f>6.05*(1-N61)</f>
        <v>4.5374999999999996</v>
      </c>
      <c r="N61" s="39">
        <v>0.25</v>
      </c>
      <c r="O61" s="40" t="s">
        <v>118</v>
      </c>
      <c r="P61" s="37">
        <v>6</v>
      </c>
    </row>
    <row r="62" spans="1:16" x14ac:dyDescent="0.2">
      <c r="A62" s="7" t="s">
        <v>127</v>
      </c>
      <c r="B62" s="7" t="s">
        <v>128</v>
      </c>
      <c r="C62" s="8">
        <v>43683</v>
      </c>
      <c r="D62" s="28">
        <v>33</v>
      </c>
      <c r="E62" s="47">
        <v>1.49</v>
      </c>
      <c r="F62" s="7">
        <v>4.6399999999999997</v>
      </c>
      <c r="G62" s="10">
        <f t="shared" si="13"/>
        <v>102.76510067114093</v>
      </c>
      <c r="H62" s="22">
        <v>8.69</v>
      </c>
      <c r="I62" s="48">
        <f>[1]Dividend!P22</f>
        <v>4.9000000000000009E-2</v>
      </c>
      <c r="J62" s="47">
        <f>J102</f>
        <v>1.54</v>
      </c>
      <c r="K62" s="50">
        <f>((H62+I62)/J62)*D62</f>
        <v>187.26428571428568</v>
      </c>
      <c r="L62" s="18">
        <f t="shared" si="12"/>
        <v>1.8222556538289294</v>
      </c>
      <c r="M62" s="38">
        <f>8.69*(1-N62)</f>
        <v>6.5175000000000001</v>
      </c>
      <c r="N62" s="39">
        <v>0.25</v>
      </c>
      <c r="O62" s="40" t="s">
        <v>118</v>
      </c>
      <c r="P62" s="37">
        <v>7</v>
      </c>
    </row>
    <row r="63" spans="1:16" x14ac:dyDescent="0.2">
      <c r="A63" s="7" t="s">
        <v>129</v>
      </c>
      <c r="B63" s="7"/>
      <c r="C63" s="8">
        <v>44155</v>
      </c>
      <c r="D63" s="7">
        <v>1.5</v>
      </c>
      <c r="E63" s="16">
        <v>1</v>
      </c>
      <c r="F63" s="7">
        <v>212</v>
      </c>
      <c r="G63" s="10">
        <f t="shared" si="13"/>
        <v>318</v>
      </c>
      <c r="H63" s="13">
        <v>1242.1099999999999</v>
      </c>
      <c r="I63" s="7">
        <v>0</v>
      </c>
      <c r="J63" s="16">
        <v>1</v>
      </c>
      <c r="K63" s="10">
        <f t="shared" ref="K63" si="14">((H63+I63)/J63)*D63</f>
        <v>1863.165</v>
      </c>
      <c r="L63" s="18">
        <f t="shared" si="12"/>
        <v>5.8590094339622638</v>
      </c>
      <c r="M63" s="38"/>
      <c r="N63" s="39"/>
      <c r="O63" s="14" t="s">
        <v>115</v>
      </c>
      <c r="P63" s="37">
        <v>2</v>
      </c>
    </row>
    <row r="64" spans="1:16" x14ac:dyDescent="0.2">
      <c r="A64" s="7" t="s">
        <v>130</v>
      </c>
      <c r="B64" s="7" t="s">
        <v>131</v>
      </c>
      <c r="C64" s="8">
        <v>43994</v>
      </c>
      <c r="D64" s="7">
        <v>45</v>
      </c>
      <c r="E64" s="16">
        <v>1.1255999999999999</v>
      </c>
      <c r="F64" s="9">
        <v>5</v>
      </c>
      <c r="G64" s="10">
        <f t="shared" si="13"/>
        <v>199.89339019189768</v>
      </c>
      <c r="H64" s="22">
        <v>9.01</v>
      </c>
      <c r="I64" s="7">
        <v>0</v>
      </c>
      <c r="J64" s="16">
        <f>J101</f>
        <v>1.2076</v>
      </c>
      <c r="K64" s="10">
        <f>((H64+I64)/J64)*D64</f>
        <v>335.74859224908909</v>
      </c>
      <c r="L64" s="18">
        <f t="shared" si="12"/>
        <v>1.679638290824776</v>
      </c>
      <c r="M64" s="38">
        <f>9*(1-N64)</f>
        <v>6.75</v>
      </c>
      <c r="N64" s="39">
        <v>0.25</v>
      </c>
      <c r="O64" s="14" t="s">
        <v>118</v>
      </c>
      <c r="P64" s="37">
        <v>8</v>
      </c>
    </row>
    <row r="65" spans="1:16" x14ac:dyDescent="0.2">
      <c r="A65" s="7" t="s">
        <v>132</v>
      </c>
      <c r="B65" s="7" t="s">
        <v>133</v>
      </c>
      <c r="C65" s="8">
        <v>44185</v>
      </c>
      <c r="D65" s="7">
        <v>175</v>
      </c>
      <c r="E65" s="16">
        <v>1</v>
      </c>
      <c r="F65" s="16">
        <v>0.3</v>
      </c>
      <c r="G65" s="10">
        <f>(F65*D65)/E65</f>
        <v>52.5</v>
      </c>
      <c r="H65" s="51">
        <v>1.4675</v>
      </c>
      <c r="I65" s="7">
        <v>0</v>
      </c>
      <c r="J65" s="16">
        <v>1</v>
      </c>
      <c r="K65" s="10">
        <f>((H65+I65)/J65)*D65</f>
        <v>256.8125</v>
      </c>
      <c r="L65" s="18">
        <f>(K65-G65)/G65+1</f>
        <v>4.8916666666666666</v>
      </c>
      <c r="M65" s="38"/>
      <c r="N65" s="39"/>
      <c r="O65" s="14" t="s">
        <v>134</v>
      </c>
      <c r="P65" s="37">
        <v>1</v>
      </c>
    </row>
    <row r="66" spans="1:16" x14ac:dyDescent="0.2">
      <c r="A66" s="7" t="s">
        <v>135</v>
      </c>
      <c r="B66" s="7" t="s">
        <v>136</v>
      </c>
      <c r="C66" s="8">
        <v>44077</v>
      </c>
      <c r="D66" s="7">
        <v>350</v>
      </c>
      <c r="E66" s="16">
        <v>1.55</v>
      </c>
      <c r="F66" s="9">
        <v>0.48499999999999999</v>
      </c>
      <c r="G66" s="10">
        <f t="shared" ref="G66:G67" si="15">(F66*D66)/E66</f>
        <v>109.51612903225806</v>
      </c>
      <c r="H66" s="17">
        <v>0.72</v>
      </c>
      <c r="I66" s="7">
        <v>0</v>
      </c>
      <c r="J66" s="16">
        <f>J102</f>
        <v>1.54</v>
      </c>
      <c r="K66" s="10">
        <f t="shared" ref="K66:K67" si="16">((H66+I66)/J66)*D66</f>
        <v>163.63636363636363</v>
      </c>
      <c r="L66" s="18">
        <f>(K66-G66)/G66+1</f>
        <v>1.4941759271656179</v>
      </c>
      <c r="M66" s="38">
        <f>0.72*(1-N66)</f>
        <v>0.54</v>
      </c>
      <c r="N66" s="39">
        <v>0.25</v>
      </c>
      <c r="O66" s="52" t="s">
        <v>137</v>
      </c>
      <c r="P66" s="37">
        <v>6</v>
      </c>
    </row>
    <row r="67" spans="1:16" x14ac:dyDescent="0.2">
      <c r="A67" s="7" t="s">
        <v>138</v>
      </c>
      <c r="B67" s="7" t="s">
        <v>139</v>
      </c>
      <c r="C67" s="8">
        <v>43384</v>
      </c>
      <c r="D67" s="7">
        <v>20</v>
      </c>
      <c r="E67" s="16">
        <v>1.5</v>
      </c>
      <c r="F67" s="7">
        <v>5.96</v>
      </c>
      <c r="G67" s="10">
        <f t="shared" si="15"/>
        <v>79.466666666666669</v>
      </c>
      <c r="H67" s="13">
        <v>14.57</v>
      </c>
      <c r="I67" s="22">
        <f>[1]Dividend!P9</f>
        <v>0.16</v>
      </c>
      <c r="J67" s="16">
        <f>J102</f>
        <v>1.54</v>
      </c>
      <c r="K67" s="10">
        <f t="shared" si="16"/>
        <v>191.2987012987013</v>
      </c>
      <c r="L67" s="18">
        <f>(K67-G67)/G67+1</f>
        <v>2.4072823150004359</v>
      </c>
      <c r="M67" s="38">
        <f>14.57*(1-N67)</f>
        <v>10.9275</v>
      </c>
      <c r="N67" s="39">
        <v>0.25</v>
      </c>
      <c r="O67" s="14" t="s">
        <v>140</v>
      </c>
      <c r="P67" s="37">
        <v>1</v>
      </c>
    </row>
    <row r="68" spans="1:16" x14ac:dyDescent="0.2">
      <c r="A68" s="7" t="s">
        <v>141</v>
      </c>
      <c r="B68" s="7" t="s">
        <v>142</v>
      </c>
      <c r="C68" s="8">
        <v>44186</v>
      </c>
      <c r="D68" s="7">
        <v>375</v>
      </c>
      <c r="E68" s="16">
        <v>1</v>
      </c>
      <c r="F68" s="36">
        <v>0.13500000000000001</v>
      </c>
      <c r="G68" s="10">
        <f>(F68*D68)/E68</f>
        <v>50.625</v>
      </c>
      <c r="H68" s="13">
        <v>0.34</v>
      </c>
      <c r="I68" s="7">
        <v>0</v>
      </c>
      <c r="J68" s="16">
        <v>1</v>
      </c>
      <c r="K68" s="10">
        <f>((H68+I68)/J68)*D68</f>
        <v>127.50000000000001</v>
      </c>
      <c r="L68" s="18">
        <f>(K68-G68)/G68+1</f>
        <v>2.518518518518519</v>
      </c>
      <c r="M68" s="38"/>
      <c r="N68" s="39"/>
      <c r="O68" s="52" t="s">
        <v>134</v>
      </c>
      <c r="P68" s="37">
        <v>2</v>
      </c>
    </row>
    <row r="69" spans="1:16" x14ac:dyDescent="0.2">
      <c r="A69" s="7" t="s">
        <v>143</v>
      </c>
      <c r="B69" s="7" t="s">
        <v>144</v>
      </c>
      <c r="C69" s="8">
        <v>44189</v>
      </c>
      <c r="D69" s="7">
        <v>295</v>
      </c>
      <c r="E69" s="16">
        <v>1</v>
      </c>
      <c r="F69" s="36">
        <v>0.25290000000000001</v>
      </c>
      <c r="G69" s="10">
        <f t="shared" ref="G69:G78" si="17">(F69*D69)/E69</f>
        <v>74.605500000000006</v>
      </c>
      <c r="H69" s="13">
        <v>0.84</v>
      </c>
      <c r="I69" s="16">
        <v>2.4759000000000002</v>
      </c>
      <c r="J69" s="16">
        <v>1</v>
      </c>
      <c r="K69" s="10">
        <f>((H69/J69)*(D69+I69))</f>
        <v>249.87975600000001</v>
      </c>
      <c r="L69" s="18">
        <f t="shared" ref="L69:L78" si="18">(K69-G69)/G69</f>
        <v>2.3493476486318032</v>
      </c>
      <c r="M69" s="38"/>
      <c r="N69" s="39"/>
      <c r="O69" s="52" t="s">
        <v>134</v>
      </c>
      <c r="P69" s="37">
        <v>3</v>
      </c>
    </row>
    <row r="70" spans="1:16" x14ac:dyDescent="0.2">
      <c r="A70" s="7" t="s">
        <v>145</v>
      </c>
      <c r="B70" s="7" t="s">
        <v>100</v>
      </c>
      <c r="C70" s="8">
        <v>44033</v>
      </c>
      <c r="D70" s="7">
        <v>39</v>
      </c>
      <c r="E70" s="16">
        <v>1.1000000000000001</v>
      </c>
      <c r="F70" s="9">
        <v>8.92</v>
      </c>
      <c r="G70" s="10">
        <f t="shared" si="17"/>
        <v>316.25454545454545</v>
      </c>
      <c r="H70" s="17">
        <v>18.010000000000002</v>
      </c>
      <c r="I70" s="7">
        <v>0</v>
      </c>
      <c r="J70" s="7">
        <v>1.2079</v>
      </c>
      <c r="K70" s="10">
        <f t="shared" ref="K70" si="19">((H70+I70)/J70)*D70</f>
        <v>581.49681265005393</v>
      </c>
      <c r="L70" s="18">
        <f t="shared" si="18"/>
        <v>0.83869867171168022</v>
      </c>
      <c r="M70" s="38">
        <f>18*(1-N70)</f>
        <v>13.5</v>
      </c>
      <c r="N70" s="39">
        <v>0.25</v>
      </c>
      <c r="O70" s="14" t="s">
        <v>146</v>
      </c>
      <c r="P70" s="53">
        <v>8</v>
      </c>
    </row>
    <row r="71" spans="1:16" x14ac:dyDescent="0.2">
      <c r="A71" s="7" t="s">
        <v>147</v>
      </c>
      <c r="B71" s="7" t="s">
        <v>148</v>
      </c>
      <c r="C71" s="8">
        <v>44206</v>
      </c>
      <c r="D71" s="7">
        <v>0.5</v>
      </c>
      <c r="E71" s="16">
        <v>1</v>
      </c>
      <c r="F71" s="22">
        <v>161.22999999999999</v>
      </c>
      <c r="G71" s="10">
        <f t="shared" si="17"/>
        <v>80.614999999999995</v>
      </c>
      <c r="H71" s="13">
        <v>341.81</v>
      </c>
      <c r="I71" s="7">
        <v>0</v>
      </c>
      <c r="J71" s="16">
        <v>1</v>
      </c>
      <c r="K71" s="10">
        <f>((H71+I71)/J71)*D71</f>
        <v>170.905</v>
      </c>
      <c r="L71" s="18">
        <f t="shared" si="18"/>
        <v>1.1200148855672023</v>
      </c>
      <c r="M71" s="38"/>
      <c r="N71" s="39"/>
      <c r="O71" s="52" t="s">
        <v>134</v>
      </c>
      <c r="P71" s="37">
        <v>4</v>
      </c>
    </row>
    <row r="72" spans="1:16" x14ac:dyDescent="0.2">
      <c r="A72" s="7" t="s">
        <v>149</v>
      </c>
      <c r="B72" s="7" t="s">
        <v>150</v>
      </c>
      <c r="C72" s="8">
        <v>44185</v>
      </c>
      <c r="D72" s="7">
        <v>4.5</v>
      </c>
      <c r="E72" s="16">
        <v>1</v>
      </c>
      <c r="F72" s="22">
        <v>10.95</v>
      </c>
      <c r="G72" s="10">
        <f t="shared" si="17"/>
        <v>49.274999999999999</v>
      </c>
      <c r="H72" s="13">
        <v>21.18</v>
      </c>
      <c r="I72" s="7">
        <v>0</v>
      </c>
      <c r="J72" s="16">
        <v>1</v>
      </c>
      <c r="K72" s="10">
        <f>((H72+I72)/J72)*D72</f>
        <v>95.31</v>
      </c>
      <c r="L72" s="18">
        <f t="shared" si="18"/>
        <v>0.9342465753424658</v>
      </c>
      <c r="M72" s="38"/>
      <c r="N72" s="39"/>
      <c r="O72" s="52" t="s">
        <v>134</v>
      </c>
      <c r="P72" s="37">
        <v>5</v>
      </c>
    </row>
    <row r="73" spans="1:16" x14ac:dyDescent="0.2">
      <c r="A73" s="7" t="s">
        <v>151</v>
      </c>
      <c r="B73" s="7" t="s">
        <v>152</v>
      </c>
      <c r="C73" s="8">
        <v>44197</v>
      </c>
      <c r="D73" s="7">
        <v>10</v>
      </c>
      <c r="E73" s="16">
        <v>1</v>
      </c>
      <c r="F73" s="36">
        <v>4.95</v>
      </c>
      <c r="G73" s="10">
        <f t="shared" si="17"/>
        <v>49.5</v>
      </c>
      <c r="H73" s="13">
        <v>16.61</v>
      </c>
      <c r="I73" s="7">
        <v>9.8599999999999993E-2</v>
      </c>
      <c r="J73" s="16">
        <v>1</v>
      </c>
      <c r="K73" s="10">
        <f>((H73+I73)/J73)*D73</f>
        <v>167.08600000000001</v>
      </c>
      <c r="L73" s="18">
        <f t="shared" si="18"/>
        <v>2.3754747474747475</v>
      </c>
      <c r="M73" s="38"/>
      <c r="N73" s="39"/>
      <c r="O73" s="52" t="s">
        <v>134</v>
      </c>
      <c r="P73" s="37">
        <v>6</v>
      </c>
    </row>
    <row r="74" spans="1:16" x14ac:dyDescent="0.2">
      <c r="A74" s="7" t="s">
        <v>153</v>
      </c>
      <c r="B74" s="7" t="s">
        <v>154</v>
      </c>
      <c r="C74" s="8">
        <v>43102</v>
      </c>
      <c r="D74" s="7">
        <v>275</v>
      </c>
      <c r="E74" s="16">
        <v>1.51</v>
      </c>
      <c r="F74" s="9">
        <v>2.1800000000000002</v>
      </c>
      <c r="G74" s="10">
        <f t="shared" si="17"/>
        <v>397.01986754966885</v>
      </c>
      <c r="H74" s="27">
        <v>4.4800000000000004</v>
      </c>
      <c r="I74" s="7">
        <v>0</v>
      </c>
      <c r="J74" s="16">
        <f>J102</f>
        <v>1.54</v>
      </c>
      <c r="K74" s="10">
        <f t="shared" ref="K74" si="20">((H74+I74)/J74)*D74</f>
        <v>800</v>
      </c>
      <c r="L74" s="18">
        <f t="shared" si="18"/>
        <v>1.0150125104253547</v>
      </c>
      <c r="M74" s="38"/>
      <c r="N74" s="39"/>
      <c r="O74" s="14" t="s">
        <v>155</v>
      </c>
      <c r="P74" s="37">
        <v>1</v>
      </c>
    </row>
    <row r="75" spans="1:16" x14ac:dyDescent="0.2">
      <c r="A75" s="7" t="s">
        <v>156</v>
      </c>
      <c r="B75" s="7" t="s">
        <v>157</v>
      </c>
      <c r="C75" s="8">
        <v>43822</v>
      </c>
      <c r="D75" s="7">
        <v>190</v>
      </c>
      <c r="E75" s="16">
        <v>1.51</v>
      </c>
      <c r="F75" s="9">
        <v>1.18</v>
      </c>
      <c r="G75" s="10">
        <f t="shared" si="17"/>
        <v>148.47682119205297</v>
      </c>
      <c r="H75" s="27">
        <v>2.65</v>
      </c>
      <c r="I75" s="7">
        <v>0</v>
      </c>
      <c r="J75" s="16">
        <f>J102</f>
        <v>1.54</v>
      </c>
      <c r="K75" s="10">
        <f>((H75+I75)/J75)*D75</f>
        <v>326.94805194805195</v>
      </c>
      <c r="L75" s="18">
        <f t="shared" si="18"/>
        <v>1.2020140876073082</v>
      </c>
      <c r="M75" s="38"/>
      <c r="N75" s="39"/>
      <c r="O75" s="14" t="s">
        <v>155</v>
      </c>
      <c r="P75" s="37">
        <v>2</v>
      </c>
    </row>
    <row r="76" spans="1:16" x14ac:dyDescent="0.2">
      <c r="A76" s="7" t="s">
        <v>158</v>
      </c>
      <c r="B76" s="7" t="s">
        <v>159</v>
      </c>
      <c r="C76" s="8">
        <v>44238</v>
      </c>
      <c r="D76" s="7">
        <v>0.4</v>
      </c>
      <c r="E76" s="16">
        <v>1</v>
      </c>
      <c r="F76" s="36">
        <v>120.94</v>
      </c>
      <c r="G76" s="10">
        <f t="shared" si="17"/>
        <v>48.376000000000005</v>
      </c>
      <c r="H76" s="13">
        <v>182.53</v>
      </c>
      <c r="I76" s="7">
        <v>0</v>
      </c>
      <c r="J76" s="16">
        <v>1</v>
      </c>
      <c r="K76" s="10">
        <f>((H76+I76)/J76)*D76</f>
        <v>73.012</v>
      </c>
      <c r="L76" s="18">
        <f t="shared" si="18"/>
        <v>0.50926079047461537</v>
      </c>
      <c r="M76" s="38"/>
      <c r="N76" s="39"/>
      <c r="O76" s="14" t="s">
        <v>134</v>
      </c>
      <c r="P76" s="37">
        <v>7</v>
      </c>
    </row>
    <row r="77" spans="1:16" x14ac:dyDescent="0.2">
      <c r="A77" s="7" t="s">
        <v>160</v>
      </c>
      <c r="B77" s="7" t="s">
        <v>161</v>
      </c>
      <c r="C77" s="8">
        <v>43374</v>
      </c>
      <c r="D77" s="7">
        <v>700</v>
      </c>
      <c r="E77" s="16">
        <v>1.1499999999999999</v>
      </c>
      <c r="F77" s="9">
        <v>0.66</v>
      </c>
      <c r="G77" s="10">
        <f t="shared" si="17"/>
        <v>401.73913043478262</v>
      </c>
      <c r="H77" s="27">
        <v>1.1299999999999999</v>
      </c>
      <c r="I77" s="7">
        <v>0</v>
      </c>
      <c r="J77" s="7">
        <v>1.2088000000000001</v>
      </c>
      <c r="K77" s="10">
        <f t="shared" ref="K77:K78" si="21">((H77+I77)/J77)*D77</f>
        <v>654.36796823295822</v>
      </c>
      <c r="L77" s="18">
        <f t="shared" si="18"/>
        <v>0.62883801616428991</v>
      </c>
      <c r="M77" s="38"/>
      <c r="N77" s="39"/>
      <c r="O77" s="14" t="s">
        <v>155</v>
      </c>
      <c r="P77" s="37">
        <v>3</v>
      </c>
    </row>
    <row r="78" spans="1:16" x14ac:dyDescent="0.2">
      <c r="A78" s="7" t="s">
        <v>162</v>
      </c>
      <c r="B78" s="7" t="s">
        <v>163</v>
      </c>
      <c r="C78" s="8">
        <v>43854</v>
      </c>
      <c r="D78" s="7">
        <v>50</v>
      </c>
      <c r="E78" s="16">
        <v>1.46</v>
      </c>
      <c r="F78" s="7">
        <v>3.71</v>
      </c>
      <c r="G78" s="10">
        <f t="shared" si="17"/>
        <v>127.05479452054794</v>
      </c>
      <c r="H78" s="13">
        <v>7.85</v>
      </c>
      <c r="I78" s="7">
        <v>0</v>
      </c>
      <c r="J78" s="16">
        <f>J102</f>
        <v>1.54</v>
      </c>
      <c r="K78" s="10">
        <f t="shared" si="21"/>
        <v>254.87012987012986</v>
      </c>
      <c r="L78" s="18">
        <f t="shared" si="18"/>
        <v>1.0059859278188119</v>
      </c>
      <c r="M78" s="38">
        <f>7.85*(1-N78)</f>
        <v>5.8874999999999993</v>
      </c>
      <c r="N78" s="39">
        <v>0.25</v>
      </c>
      <c r="O78" s="14" t="s">
        <v>140</v>
      </c>
      <c r="P78" s="53">
        <v>2</v>
      </c>
    </row>
    <row r="79" spans="1:16" x14ac:dyDescent="0.2">
      <c r="A79" s="2"/>
      <c r="B79" s="7"/>
      <c r="C79" s="8"/>
      <c r="D79" s="7"/>
      <c r="E79" s="16"/>
      <c r="F79" s="9"/>
      <c r="G79" s="10"/>
      <c r="H79" s="17"/>
      <c r="I79" s="7"/>
      <c r="J79" s="16"/>
      <c r="K79" s="10"/>
      <c r="L79" s="18"/>
      <c r="M79" s="12"/>
      <c r="N79" s="25"/>
      <c r="O79" s="52"/>
      <c r="P79" s="37"/>
    </row>
    <row r="80" spans="1:16" x14ac:dyDescent="0.2">
      <c r="A80" s="2" t="s">
        <v>164</v>
      </c>
      <c r="B80" s="7"/>
      <c r="C80" s="8"/>
      <c r="D80" s="28"/>
      <c r="E80" s="47"/>
      <c r="F80" s="7"/>
      <c r="G80" s="26"/>
      <c r="H80" s="22"/>
      <c r="I80" s="48"/>
      <c r="J80" s="47"/>
      <c r="K80" s="10">
        <v>8467</v>
      </c>
      <c r="L80" s="11"/>
      <c r="M80" s="37"/>
      <c r="N80" s="13"/>
      <c r="O80" s="14"/>
      <c r="P80" s="37"/>
    </row>
    <row r="81" spans="1:16" x14ac:dyDescent="0.2">
      <c r="A81" s="2" t="s">
        <v>165</v>
      </c>
      <c r="B81" s="7" t="s">
        <v>136</v>
      </c>
      <c r="C81" s="8">
        <v>44200</v>
      </c>
      <c r="D81" s="28"/>
      <c r="E81" s="47"/>
      <c r="F81" s="7"/>
      <c r="G81" s="26"/>
      <c r="H81" s="22"/>
      <c r="I81" s="48"/>
      <c r="J81" s="47"/>
      <c r="K81" s="10">
        <v>221</v>
      </c>
      <c r="L81" s="11"/>
      <c r="M81" s="37"/>
      <c r="N81" s="13"/>
      <c r="O81" s="14"/>
      <c r="P81" s="37"/>
    </row>
    <row r="82" spans="1:16" x14ac:dyDescent="0.2">
      <c r="A82" s="7" t="s">
        <v>166</v>
      </c>
      <c r="B82" s="7" t="s">
        <v>167</v>
      </c>
      <c r="C82" s="8">
        <v>44202</v>
      </c>
      <c r="D82" s="28"/>
      <c r="E82" s="47"/>
      <c r="F82" s="7"/>
      <c r="G82" s="26"/>
      <c r="H82" s="22"/>
      <c r="I82" s="48"/>
      <c r="J82" s="47"/>
      <c r="K82" s="10">
        <v>158</v>
      </c>
      <c r="L82" s="11"/>
      <c r="M82" s="37"/>
      <c r="N82" s="13"/>
      <c r="O82" s="14"/>
      <c r="P82" s="37"/>
    </row>
    <row r="83" spans="1:16" x14ac:dyDescent="0.2">
      <c r="A83" s="7" t="s">
        <v>168</v>
      </c>
      <c r="B83" s="7" t="s">
        <v>142</v>
      </c>
      <c r="C83" s="8">
        <v>44202</v>
      </c>
      <c r="D83" s="28"/>
      <c r="E83" s="47"/>
      <c r="F83" s="7"/>
      <c r="G83" s="26"/>
      <c r="H83" s="22"/>
      <c r="I83" s="48"/>
      <c r="J83" s="47"/>
      <c r="K83" s="10">
        <v>105</v>
      </c>
      <c r="L83" s="11"/>
      <c r="M83" s="37"/>
      <c r="N83" s="13"/>
      <c r="O83" s="14"/>
      <c r="P83" s="37"/>
    </row>
    <row r="84" spans="1:16" x14ac:dyDescent="0.2">
      <c r="A84" s="7" t="s">
        <v>169</v>
      </c>
      <c r="B84" s="7" t="s">
        <v>144</v>
      </c>
      <c r="C84" s="8">
        <v>44221</v>
      </c>
      <c r="D84" s="28"/>
      <c r="E84" s="47"/>
      <c r="F84" s="7"/>
      <c r="G84" s="26"/>
      <c r="H84" s="22"/>
      <c r="I84" s="48"/>
      <c r="J84" s="47"/>
      <c r="K84" s="10">
        <v>152</v>
      </c>
      <c r="L84" s="11"/>
      <c r="M84" s="37"/>
      <c r="N84" s="13"/>
      <c r="O84" s="14"/>
      <c r="P84" s="37"/>
    </row>
    <row r="85" spans="1:16" x14ac:dyDescent="0.2">
      <c r="A85" s="7" t="s">
        <v>170</v>
      </c>
      <c r="B85" s="7" t="s">
        <v>100</v>
      </c>
      <c r="C85" s="8">
        <v>44228</v>
      </c>
      <c r="D85" s="28"/>
      <c r="E85" s="47"/>
      <c r="F85" s="7"/>
      <c r="G85" s="26"/>
      <c r="H85" s="22"/>
      <c r="I85" s="48"/>
      <c r="J85" s="47"/>
      <c r="K85" s="10">
        <v>718</v>
      </c>
      <c r="L85" s="11"/>
      <c r="M85" s="37"/>
      <c r="N85" s="13"/>
      <c r="O85" s="14"/>
      <c r="P85" s="37"/>
    </row>
    <row r="86" spans="1:16" x14ac:dyDescent="0.2">
      <c r="A86" s="7" t="s">
        <v>171</v>
      </c>
      <c r="B86" s="7" t="s">
        <v>148</v>
      </c>
      <c r="C86" s="8">
        <v>44231</v>
      </c>
      <c r="D86" s="28"/>
      <c r="E86" s="47"/>
      <c r="F86" s="7"/>
      <c r="G86" s="26"/>
      <c r="H86" s="22"/>
      <c r="I86" s="48"/>
      <c r="J86" s="47"/>
      <c r="K86" s="10">
        <v>188</v>
      </c>
      <c r="L86" s="11"/>
      <c r="M86" s="37"/>
      <c r="N86" s="13"/>
      <c r="O86" s="14"/>
      <c r="P86" s="37"/>
    </row>
    <row r="87" spans="1:16" x14ac:dyDescent="0.2">
      <c r="A87" s="25" t="s">
        <v>172</v>
      </c>
      <c r="B87" s="7" t="s">
        <v>173</v>
      </c>
      <c r="C87" s="8">
        <v>44221</v>
      </c>
      <c r="D87" s="7"/>
      <c r="E87" s="16"/>
      <c r="F87" s="7"/>
      <c r="G87" s="10"/>
      <c r="H87" s="13"/>
      <c r="I87" s="7"/>
      <c r="J87" s="16"/>
      <c r="K87" s="10">
        <v>-253</v>
      </c>
      <c r="L87" s="20"/>
      <c r="M87" s="12"/>
      <c r="N87" s="13"/>
      <c r="O87" s="14"/>
      <c r="P87" s="37"/>
    </row>
    <row r="88" spans="1:16" x14ac:dyDescent="0.2">
      <c r="A88" s="52" t="s">
        <v>174</v>
      </c>
      <c r="B88" s="7"/>
      <c r="C88" s="8">
        <v>44233</v>
      </c>
      <c r="D88" s="7"/>
      <c r="E88" s="16"/>
      <c r="F88" s="7"/>
      <c r="G88" s="10"/>
      <c r="H88" s="13"/>
      <c r="I88" s="7"/>
      <c r="J88" s="16"/>
      <c r="K88" s="10">
        <v>100</v>
      </c>
      <c r="L88" s="20"/>
      <c r="M88" s="12"/>
      <c r="N88" s="13"/>
      <c r="O88" s="14"/>
      <c r="P88" s="37"/>
    </row>
    <row r="89" spans="1:16" x14ac:dyDescent="0.2">
      <c r="A89" s="52" t="s">
        <v>175</v>
      </c>
      <c r="B89" s="7" t="s">
        <v>152</v>
      </c>
      <c r="C89" s="8">
        <v>44233</v>
      </c>
      <c r="D89" s="7"/>
      <c r="E89" s="16"/>
      <c r="F89" s="7"/>
      <c r="G89" s="10"/>
      <c r="H89" s="13"/>
      <c r="I89" s="7"/>
      <c r="J89" s="16"/>
      <c r="K89" s="10">
        <v>102</v>
      </c>
      <c r="L89" s="20"/>
      <c r="M89" s="12"/>
      <c r="N89" s="13"/>
      <c r="O89" s="14"/>
      <c r="P89" s="37"/>
    </row>
    <row r="90" spans="1:16" x14ac:dyDescent="0.2">
      <c r="A90" s="7" t="s">
        <v>176</v>
      </c>
      <c r="B90" s="7" t="s">
        <v>154</v>
      </c>
      <c r="C90" s="8">
        <v>44237</v>
      </c>
      <c r="D90" s="7"/>
      <c r="E90" s="16"/>
      <c r="F90" s="7"/>
      <c r="G90" s="10"/>
      <c r="H90" s="13"/>
      <c r="I90" s="7"/>
      <c r="J90" s="16"/>
      <c r="K90" s="10">
        <v>896</v>
      </c>
      <c r="L90" s="20"/>
      <c r="M90" s="12"/>
      <c r="N90" s="13"/>
      <c r="O90" s="14"/>
      <c r="P90" s="37"/>
    </row>
    <row r="91" spans="1:16" x14ac:dyDescent="0.2">
      <c r="A91" s="7" t="s">
        <v>177</v>
      </c>
      <c r="B91" s="7" t="s">
        <v>177</v>
      </c>
      <c r="C91" s="8">
        <v>44190</v>
      </c>
      <c r="D91" s="7"/>
      <c r="E91" s="16"/>
      <c r="F91" s="7"/>
      <c r="G91" s="10"/>
      <c r="H91" s="13"/>
      <c r="I91" s="7"/>
      <c r="J91" s="16"/>
      <c r="K91" s="10">
        <v>-98</v>
      </c>
      <c r="L91" s="20"/>
      <c r="M91" s="12"/>
      <c r="N91" s="13"/>
      <c r="O91" s="14"/>
      <c r="P91" s="37"/>
    </row>
    <row r="92" spans="1:16" x14ac:dyDescent="0.2">
      <c r="A92" s="7" t="s">
        <v>178</v>
      </c>
      <c r="B92" s="7" t="s">
        <v>157</v>
      </c>
      <c r="C92" s="8">
        <v>44239</v>
      </c>
      <c r="D92" s="7"/>
      <c r="E92" s="16"/>
      <c r="F92" s="7"/>
      <c r="G92" s="10"/>
      <c r="H92" s="13"/>
      <c r="I92" s="7"/>
      <c r="J92" s="16"/>
      <c r="K92" s="10">
        <v>306</v>
      </c>
      <c r="L92" s="20"/>
      <c r="M92" s="12"/>
      <c r="N92" s="13"/>
      <c r="O92" s="14"/>
      <c r="P92" s="37"/>
    </row>
    <row r="93" spans="1:16" x14ac:dyDescent="0.2">
      <c r="A93" s="7" t="s">
        <v>179</v>
      </c>
      <c r="B93" s="7"/>
      <c r="C93" s="8">
        <v>44239</v>
      </c>
      <c r="D93" s="7"/>
      <c r="E93" s="16"/>
      <c r="F93" s="7"/>
      <c r="G93" s="10"/>
      <c r="H93" s="25"/>
      <c r="I93" s="7"/>
      <c r="J93" s="16"/>
      <c r="K93" s="10">
        <v>2293</v>
      </c>
      <c r="L93" s="18"/>
      <c r="M93" s="12"/>
      <c r="N93" s="13"/>
      <c r="O93" s="14"/>
      <c r="P93" s="37"/>
    </row>
    <row r="94" spans="1:16" x14ac:dyDescent="0.2">
      <c r="A94" s="7" t="s">
        <v>180</v>
      </c>
      <c r="B94" s="7"/>
      <c r="C94" s="8">
        <v>44239</v>
      </c>
      <c r="D94" s="7"/>
      <c r="E94" s="16"/>
      <c r="F94" s="7"/>
      <c r="G94" s="10"/>
      <c r="H94" s="13"/>
      <c r="I94" s="7"/>
      <c r="J94" s="16"/>
      <c r="K94" s="10">
        <v>1525</v>
      </c>
      <c r="L94" s="18"/>
      <c r="M94" s="12"/>
      <c r="N94" s="13"/>
      <c r="O94" s="14"/>
      <c r="P94" s="37"/>
    </row>
    <row r="95" spans="1:16" x14ac:dyDescent="0.2">
      <c r="A95" s="7" t="s">
        <v>181</v>
      </c>
      <c r="B95" s="7" t="s">
        <v>182</v>
      </c>
      <c r="C95" s="8">
        <v>44245</v>
      </c>
      <c r="D95" s="7"/>
      <c r="E95" s="16"/>
      <c r="F95" s="7"/>
      <c r="G95" s="10"/>
      <c r="H95" s="13"/>
      <c r="I95" s="7"/>
      <c r="J95" s="16"/>
      <c r="K95" s="10">
        <v>1729</v>
      </c>
      <c r="L95" s="18"/>
      <c r="M95" s="12"/>
      <c r="N95" s="13"/>
      <c r="O95" s="14"/>
      <c r="P95" s="37"/>
    </row>
    <row r="96" spans="1:16" x14ac:dyDescent="0.2">
      <c r="A96" s="7" t="s">
        <v>183</v>
      </c>
      <c r="B96" s="7" t="s">
        <v>159</v>
      </c>
      <c r="C96" s="8">
        <v>44245</v>
      </c>
      <c r="D96" s="7"/>
      <c r="E96" s="16"/>
      <c r="F96" s="7"/>
      <c r="G96" s="10"/>
      <c r="H96" s="13"/>
      <c r="I96" s="7"/>
      <c r="J96" s="16"/>
      <c r="K96" s="10">
        <v>97</v>
      </c>
      <c r="L96" s="18"/>
      <c r="M96" s="12"/>
      <c r="N96" s="13"/>
      <c r="O96" s="14"/>
      <c r="P96" s="37"/>
    </row>
    <row r="97" spans="1:16" x14ac:dyDescent="0.2">
      <c r="A97" s="7" t="s">
        <v>184</v>
      </c>
      <c r="B97" s="7" t="s">
        <v>185</v>
      </c>
      <c r="C97" s="8">
        <v>44245</v>
      </c>
      <c r="D97" s="7"/>
      <c r="E97" s="16"/>
      <c r="F97" s="22"/>
      <c r="G97" s="10"/>
      <c r="H97" s="13"/>
      <c r="I97" s="7"/>
      <c r="J97" s="16"/>
      <c r="K97" s="10">
        <v>226</v>
      </c>
      <c r="L97" s="18"/>
      <c r="M97" s="12"/>
      <c r="N97" s="13"/>
      <c r="O97" s="14"/>
      <c r="P97" s="37"/>
    </row>
    <row r="98" spans="1:16" x14ac:dyDescent="0.2">
      <c r="A98" s="7" t="s">
        <v>186</v>
      </c>
      <c r="B98" s="7" t="s">
        <v>161</v>
      </c>
      <c r="C98" s="8">
        <v>44244</v>
      </c>
      <c r="D98" s="7"/>
      <c r="E98" s="16"/>
      <c r="F98" s="22"/>
      <c r="G98" s="10"/>
      <c r="H98" s="13"/>
      <c r="I98" s="7"/>
      <c r="J98" s="16"/>
      <c r="K98" s="10">
        <v>811</v>
      </c>
      <c r="L98" s="18"/>
      <c r="M98" s="12"/>
      <c r="N98" s="13"/>
      <c r="O98" s="14"/>
      <c r="P98" s="37"/>
    </row>
    <row r="99" spans="1:16" x14ac:dyDescent="0.2">
      <c r="A99" s="7" t="s">
        <v>187</v>
      </c>
      <c r="B99" s="7" t="s">
        <v>163</v>
      </c>
      <c r="C99" s="8">
        <v>44246</v>
      </c>
      <c r="D99" s="7"/>
      <c r="E99" s="16"/>
      <c r="F99" s="22"/>
      <c r="G99" s="10"/>
      <c r="H99" s="13"/>
      <c r="I99" s="7"/>
      <c r="J99" s="16"/>
      <c r="K99" s="10">
        <v>255</v>
      </c>
      <c r="L99" s="18"/>
      <c r="M99" s="12"/>
      <c r="N99" s="13"/>
      <c r="O99" s="14"/>
      <c r="P99" s="37"/>
    </row>
    <row r="100" spans="1:16" x14ac:dyDescent="0.2">
      <c r="A100" s="7"/>
      <c r="B100" s="7"/>
      <c r="C100" s="8"/>
      <c r="D100" s="7"/>
      <c r="E100" s="16"/>
      <c r="F100" s="7"/>
      <c r="G100" s="10"/>
      <c r="H100" s="13"/>
      <c r="I100" s="7"/>
      <c r="J100" s="16"/>
      <c r="K100" s="10"/>
      <c r="L100" s="20"/>
      <c r="M100" s="12"/>
      <c r="N100" s="13"/>
      <c r="O100" s="14"/>
      <c r="P100" s="37"/>
    </row>
    <row r="101" spans="1:16" x14ac:dyDescent="0.2">
      <c r="A101" s="7" t="s">
        <v>188</v>
      </c>
      <c r="B101" s="7" t="s">
        <v>189</v>
      </c>
      <c r="C101" s="8"/>
      <c r="D101" s="7"/>
      <c r="E101" s="7"/>
      <c r="F101" s="45"/>
      <c r="G101" s="7"/>
      <c r="H101" s="46"/>
      <c r="I101" s="7"/>
      <c r="J101" s="16">
        <v>1.2076</v>
      </c>
      <c r="K101" s="7"/>
      <c r="L101" s="7"/>
      <c r="M101" s="37"/>
      <c r="N101" s="25"/>
      <c r="O101" s="52"/>
      <c r="P101" s="37"/>
    </row>
    <row r="102" spans="1:16" x14ac:dyDescent="0.2">
      <c r="A102" s="7" t="s">
        <v>190</v>
      </c>
      <c r="B102" s="7" t="s">
        <v>191</v>
      </c>
      <c r="C102" s="7"/>
      <c r="D102" s="7"/>
      <c r="E102" s="7"/>
      <c r="F102" s="7"/>
      <c r="G102" s="7"/>
      <c r="H102" s="7"/>
      <c r="I102" s="7"/>
      <c r="J102" s="16">
        <v>1.54</v>
      </c>
      <c r="K102" s="7"/>
      <c r="L102" s="7"/>
      <c r="M102" s="37"/>
      <c r="N102" s="25"/>
      <c r="O102" s="52"/>
      <c r="P102" s="37"/>
    </row>
    <row r="103" spans="1:16" x14ac:dyDescent="0.2">
      <c r="A103" s="7" t="s">
        <v>192</v>
      </c>
      <c r="B103" s="7" t="s">
        <v>193</v>
      </c>
      <c r="C103" s="7"/>
      <c r="D103" s="7"/>
      <c r="E103" s="7"/>
      <c r="F103" s="7"/>
      <c r="G103" s="7"/>
      <c r="H103" s="7"/>
      <c r="I103" s="7"/>
      <c r="J103" s="16">
        <v>1.57</v>
      </c>
      <c r="K103" s="7"/>
      <c r="L103" s="7"/>
      <c r="M103" s="37"/>
      <c r="N103" s="25"/>
      <c r="O103" s="52"/>
      <c r="P103" s="37"/>
    </row>
    <row r="104" spans="1:16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16"/>
      <c r="K104" s="7"/>
      <c r="L104" s="7"/>
      <c r="M104" s="37"/>
      <c r="N104" s="25"/>
      <c r="O104" s="52"/>
      <c r="P104" s="37"/>
    </row>
    <row r="105" spans="1:16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16"/>
      <c r="K105" s="7"/>
      <c r="L105" s="7"/>
      <c r="M105" s="37"/>
      <c r="N105" s="25"/>
      <c r="O105" s="52"/>
      <c r="P105" s="37"/>
    </row>
    <row r="106" spans="1:16" x14ac:dyDescent="0.2">
      <c r="A106" s="54" t="s">
        <v>194</v>
      </c>
      <c r="B106" s="54"/>
      <c r="C106" s="54"/>
      <c r="D106" s="54"/>
      <c r="E106" s="55">
        <f>SUM(G3:G76)</f>
        <v>24702.385174080035</v>
      </c>
      <c r="F106" s="7"/>
      <c r="G106" s="54" t="s">
        <v>195</v>
      </c>
      <c r="H106" s="54"/>
      <c r="I106" s="54"/>
      <c r="J106" s="54"/>
      <c r="K106" s="56">
        <f>SUM(K3:K78)</f>
        <v>34084.760345203045</v>
      </c>
      <c r="L106" s="7"/>
      <c r="M106" s="57" t="s">
        <v>196</v>
      </c>
      <c r="N106" s="58"/>
      <c r="O106" s="59"/>
      <c r="P106" s="60">
        <f>E108-E106</f>
        <v>17229.614825919965</v>
      </c>
    </row>
    <row r="107" spans="1:16" x14ac:dyDescent="0.2">
      <c r="A107" s="54" t="s">
        <v>197</v>
      </c>
      <c r="B107" s="54"/>
      <c r="C107" s="54"/>
      <c r="D107" s="54"/>
      <c r="E107" s="55">
        <v>25000</v>
      </c>
      <c r="F107" s="7"/>
      <c r="G107" s="57" t="s">
        <v>198</v>
      </c>
      <c r="H107" s="58"/>
      <c r="I107" s="58"/>
      <c r="J107" s="59"/>
      <c r="K107" s="61">
        <f>K106-E106</f>
        <v>9382.3751711230107</v>
      </c>
      <c r="L107" s="7"/>
      <c r="M107" s="57" t="s">
        <v>199</v>
      </c>
      <c r="N107" s="58"/>
      <c r="O107" s="59"/>
      <c r="P107" s="62">
        <f>P106/E108</f>
        <v>0.41089418167318431</v>
      </c>
    </row>
    <row r="108" spans="1:16" x14ac:dyDescent="0.2">
      <c r="A108" s="54" t="s">
        <v>200</v>
      </c>
      <c r="B108" s="54"/>
      <c r="C108" s="54"/>
      <c r="D108" s="54"/>
      <c r="E108" s="55">
        <f>E107+K108</f>
        <v>41932</v>
      </c>
      <c r="F108" s="7"/>
      <c r="G108" s="54" t="s">
        <v>201</v>
      </c>
      <c r="H108" s="54"/>
      <c r="I108" s="54"/>
      <c r="J108" s="54"/>
      <c r="K108" s="56">
        <f>SUM(K80:K97)</f>
        <v>16932</v>
      </c>
      <c r="L108" s="26"/>
      <c r="M108" s="57"/>
      <c r="N108" s="58"/>
      <c r="O108" s="59"/>
      <c r="P108" s="6"/>
    </row>
    <row r="109" spans="1:16" x14ac:dyDescent="0.2">
      <c r="A109" s="54" t="s">
        <v>202</v>
      </c>
      <c r="B109" s="54"/>
      <c r="C109" s="54"/>
      <c r="D109" s="54"/>
      <c r="E109" s="55">
        <f>E108+K109+K108</f>
        <v>58865.052575006848</v>
      </c>
      <c r="F109" s="7"/>
      <c r="G109" s="54" t="s">
        <v>203</v>
      </c>
      <c r="H109" s="54"/>
      <c r="I109" s="54"/>
      <c r="J109" s="54"/>
      <c r="K109" s="63">
        <f>(K107+K108)/E107</f>
        <v>1.0525750068449204</v>
      </c>
      <c r="L109" s="26"/>
      <c r="M109" s="64"/>
      <c r="N109" s="65"/>
      <c r="O109" s="66"/>
      <c r="P109" s="6"/>
    </row>
    <row r="110" spans="1:16" x14ac:dyDescent="0.2">
      <c r="A110" s="67"/>
      <c r="B110" s="68"/>
      <c r="C110" s="68"/>
      <c r="D110" s="69"/>
      <c r="E110" s="7"/>
      <c r="F110" s="7"/>
      <c r="G110" s="67"/>
      <c r="H110" s="68"/>
      <c r="I110" s="68"/>
      <c r="J110" s="69"/>
      <c r="K110" s="7"/>
      <c r="L110" s="7"/>
      <c r="M110" s="67"/>
      <c r="N110" s="68"/>
      <c r="O110" s="69"/>
      <c r="P110" s="37"/>
    </row>
    <row r="111" spans="1:16" x14ac:dyDescent="0.2">
      <c r="A111" s="2" t="s">
        <v>204</v>
      </c>
      <c r="B111" s="2" t="s">
        <v>2</v>
      </c>
      <c r="C111" s="2" t="s">
        <v>205</v>
      </c>
      <c r="D111" s="2" t="s">
        <v>4</v>
      </c>
      <c r="E111" s="2" t="s">
        <v>206</v>
      </c>
      <c r="F111" s="2" t="s">
        <v>207</v>
      </c>
      <c r="G111" s="2" t="s">
        <v>208</v>
      </c>
      <c r="H111" s="4" t="s">
        <v>209</v>
      </c>
      <c r="I111" s="4" t="s">
        <v>210</v>
      </c>
      <c r="J111" s="70" t="s">
        <v>211</v>
      </c>
      <c r="K111" s="57" t="s">
        <v>212</v>
      </c>
      <c r="L111" s="58"/>
      <c r="M111" s="58"/>
      <c r="N111" s="58"/>
      <c r="O111" s="58"/>
      <c r="P111" s="59"/>
    </row>
    <row r="112" spans="1:16" x14ac:dyDescent="0.2">
      <c r="A112" s="7" t="s">
        <v>213</v>
      </c>
      <c r="B112" s="7" t="s">
        <v>214</v>
      </c>
      <c r="C112" s="8">
        <v>44250</v>
      </c>
      <c r="D112" s="7">
        <v>2500</v>
      </c>
      <c r="E112" s="71"/>
      <c r="F112" s="72"/>
      <c r="G112" s="73"/>
      <c r="H112" s="74"/>
      <c r="I112" s="75"/>
      <c r="J112" s="71"/>
      <c r="K112" s="73"/>
      <c r="L112" s="76"/>
      <c r="M112" s="77"/>
      <c r="N112" s="78"/>
      <c r="O112" s="79"/>
      <c r="P112" s="19"/>
    </row>
    <row r="113" spans="1:16" x14ac:dyDescent="0.2">
      <c r="A113" s="7" t="s">
        <v>215</v>
      </c>
      <c r="B113" s="7" t="s">
        <v>216</v>
      </c>
      <c r="C113" s="8">
        <v>44251</v>
      </c>
      <c r="D113" s="7">
        <v>1000</v>
      </c>
      <c r="E113" s="71"/>
      <c r="F113" s="72"/>
      <c r="G113" s="73"/>
      <c r="H113" s="74"/>
      <c r="I113" s="75"/>
      <c r="J113" s="71"/>
      <c r="K113" s="73"/>
      <c r="L113" s="76"/>
      <c r="M113" s="77"/>
      <c r="N113" s="78"/>
      <c r="O113" s="79"/>
      <c r="P113" s="19"/>
    </row>
  </sheetData>
  <mergeCells count="16">
    <mergeCell ref="K111:P111"/>
    <mergeCell ref="A108:D108"/>
    <mergeCell ref="G108:J108"/>
    <mergeCell ref="M108:O108"/>
    <mergeCell ref="A109:D109"/>
    <mergeCell ref="G109:J109"/>
    <mergeCell ref="A110:D110"/>
    <mergeCell ref="G110:J110"/>
    <mergeCell ref="M110:O110"/>
    <mergeCell ref="A1:P1"/>
    <mergeCell ref="A106:D106"/>
    <mergeCell ref="G106:J106"/>
    <mergeCell ref="M106:O106"/>
    <mergeCell ref="A107:D107"/>
    <mergeCell ref="G107:J107"/>
    <mergeCell ref="M107:O10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2021-02-27T12:02:00Z</dcterms:created>
  <dcterms:modified xsi:type="dcterms:W3CDTF">2021-02-27T12:05:35Z</dcterms:modified>
</cp:coreProperties>
</file>