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54E9242A-9AF7-D441-856A-365E5891DD5C}" xr6:coauthVersionLast="45" xr6:coauthVersionMax="45" xr10:uidLastSave="{00000000-0000-0000-0000-000000000000}"/>
  <bookViews>
    <workbookView xWindow="720" yWindow="960" windowWidth="24540" windowHeight="14480" xr2:uid="{F7E4832E-D1B9-EF49-B836-B5EAF932FE98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K69" i="1"/>
  <c r="E69" i="1" s="1"/>
  <c r="K53" i="1"/>
  <c r="L53" i="1" s="1"/>
  <c r="J53" i="1"/>
  <c r="I53" i="1"/>
  <c r="G53" i="1"/>
  <c r="J52" i="1"/>
  <c r="K52" i="1" s="1"/>
  <c r="L52" i="1" s="1"/>
  <c r="G52" i="1"/>
  <c r="J51" i="1"/>
  <c r="K51" i="1" s="1"/>
  <c r="L51" i="1" s="1"/>
  <c r="I51" i="1"/>
  <c r="G51" i="1"/>
  <c r="K50" i="1"/>
  <c r="L50" i="1" s="1"/>
  <c r="J50" i="1"/>
  <c r="G50" i="1"/>
  <c r="K49" i="1"/>
  <c r="L49" i="1" s="1"/>
  <c r="J49" i="1"/>
  <c r="G49" i="1"/>
  <c r="K48" i="1"/>
  <c r="L48" i="1" s="1"/>
  <c r="J48" i="1"/>
  <c r="G48" i="1"/>
  <c r="K47" i="1"/>
  <c r="L47" i="1" s="1"/>
  <c r="J47" i="1"/>
  <c r="G47" i="1"/>
  <c r="K46" i="1"/>
  <c r="L46" i="1" s="1"/>
  <c r="G46" i="1"/>
  <c r="J45" i="1"/>
  <c r="K45" i="1" s="1"/>
  <c r="L45" i="1" s="1"/>
  <c r="I45" i="1"/>
  <c r="G45" i="1"/>
  <c r="K44" i="1"/>
  <c r="L44" i="1" s="1"/>
  <c r="J44" i="1"/>
  <c r="G44" i="1"/>
  <c r="K42" i="1"/>
  <c r="G42" i="1"/>
  <c r="L42" i="1" s="1"/>
  <c r="K41" i="1"/>
  <c r="G41" i="1"/>
  <c r="L41" i="1" s="1"/>
  <c r="O39" i="1"/>
  <c r="P39" i="1" s="1"/>
  <c r="J39" i="1"/>
  <c r="K39" i="1" s="1"/>
  <c r="G39" i="1"/>
  <c r="P38" i="1"/>
  <c r="O38" i="1"/>
  <c r="K38" i="1"/>
  <c r="M38" i="1" s="1"/>
  <c r="J38" i="1"/>
  <c r="G38" i="1"/>
  <c r="O37" i="1"/>
  <c r="P37" i="1" s="1"/>
  <c r="O36" i="1"/>
  <c r="P36" i="1" s="1"/>
  <c r="J36" i="1"/>
  <c r="K36" i="1" s="1"/>
  <c r="G36" i="1"/>
  <c r="K35" i="1"/>
  <c r="M35" i="1" s="1"/>
  <c r="J35" i="1"/>
  <c r="I35" i="1"/>
  <c r="O35" i="1" s="1"/>
  <c r="P35" i="1" s="1"/>
  <c r="G35" i="1"/>
  <c r="K34" i="1"/>
  <c r="M34" i="1" s="1"/>
  <c r="J34" i="1"/>
  <c r="I34" i="1"/>
  <c r="O34" i="1" s="1"/>
  <c r="P34" i="1" s="1"/>
  <c r="G34" i="1"/>
  <c r="P33" i="1"/>
  <c r="M33" i="1"/>
  <c r="O32" i="1"/>
  <c r="P32" i="1" s="1"/>
  <c r="J32" i="1"/>
  <c r="K32" i="1" s="1"/>
  <c r="G32" i="1"/>
  <c r="P31" i="1"/>
  <c r="O31" i="1"/>
  <c r="L31" i="1"/>
  <c r="K31" i="1"/>
  <c r="J31" i="1"/>
  <c r="G31" i="1"/>
  <c r="M31" i="1" s="1"/>
  <c r="P30" i="1"/>
  <c r="O30" i="1"/>
  <c r="K30" i="1"/>
  <c r="M30" i="1" s="1"/>
  <c r="J30" i="1"/>
  <c r="G30" i="1"/>
  <c r="O28" i="1"/>
  <c r="P28" i="1" s="1"/>
  <c r="J28" i="1"/>
  <c r="K28" i="1" s="1"/>
  <c r="I28" i="1"/>
  <c r="G28" i="1"/>
  <c r="O27" i="1"/>
  <c r="P27" i="1" s="1"/>
  <c r="J27" i="1"/>
  <c r="K27" i="1" s="1"/>
  <c r="I27" i="1"/>
  <c r="G27" i="1"/>
  <c r="O26" i="1"/>
  <c r="P26" i="1" s="1"/>
  <c r="J26" i="1"/>
  <c r="K26" i="1" s="1"/>
  <c r="I26" i="1"/>
  <c r="G26" i="1"/>
  <c r="O24" i="1"/>
  <c r="P24" i="1" s="1"/>
  <c r="J24" i="1"/>
  <c r="K24" i="1" s="1"/>
  <c r="G24" i="1"/>
  <c r="O23" i="1"/>
  <c r="P23" i="1" s="1"/>
  <c r="J23" i="1"/>
  <c r="K23" i="1" s="1"/>
  <c r="G23" i="1"/>
  <c r="P22" i="1"/>
  <c r="O22" i="1"/>
  <c r="L22" i="1"/>
  <c r="K22" i="1"/>
  <c r="J22" i="1"/>
  <c r="G22" i="1"/>
  <c r="M22" i="1" s="1"/>
  <c r="O21" i="1"/>
  <c r="P21" i="1" s="1"/>
  <c r="J21" i="1"/>
  <c r="K21" i="1" s="1"/>
  <c r="G21" i="1"/>
  <c r="O20" i="1"/>
  <c r="P20" i="1" s="1"/>
  <c r="J20" i="1"/>
  <c r="K20" i="1" s="1"/>
  <c r="G20" i="1"/>
  <c r="O19" i="1"/>
  <c r="P19" i="1" s="1"/>
  <c r="J19" i="1"/>
  <c r="K19" i="1" s="1"/>
  <c r="G19" i="1"/>
  <c r="P18" i="1"/>
  <c r="O18" i="1"/>
  <c r="K18" i="1"/>
  <c r="M18" i="1" s="1"/>
  <c r="J18" i="1"/>
  <c r="G18" i="1"/>
  <c r="O17" i="1"/>
  <c r="P17" i="1" s="1"/>
  <c r="J17" i="1"/>
  <c r="K17" i="1" s="1"/>
  <c r="G17" i="1"/>
  <c r="O16" i="1"/>
  <c r="P16" i="1" s="1"/>
  <c r="J16" i="1"/>
  <c r="K16" i="1" s="1"/>
  <c r="G16" i="1"/>
  <c r="O15" i="1"/>
  <c r="P15" i="1" s="1"/>
  <c r="J15" i="1"/>
  <c r="K15" i="1" s="1"/>
  <c r="G15" i="1"/>
  <c r="P14" i="1"/>
  <c r="O14" i="1"/>
  <c r="K14" i="1"/>
  <c r="M14" i="1" s="1"/>
  <c r="J14" i="1"/>
  <c r="G14" i="1"/>
  <c r="O13" i="1"/>
  <c r="P13" i="1" s="1"/>
  <c r="J13" i="1"/>
  <c r="K13" i="1" s="1"/>
  <c r="G13" i="1"/>
  <c r="K12" i="1"/>
  <c r="M12" i="1" s="1"/>
  <c r="J12" i="1"/>
  <c r="G12" i="1"/>
  <c r="J11" i="1"/>
  <c r="K11" i="1" s="1"/>
  <c r="G11" i="1"/>
  <c r="P10" i="1"/>
  <c r="O10" i="1"/>
  <c r="K10" i="1"/>
  <c r="M10" i="1" s="1"/>
  <c r="J10" i="1"/>
  <c r="G10" i="1"/>
  <c r="O9" i="1"/>
  <c r="P9" i="1" s="1"/>
  <c r="J9" i="1"/>
  <c r="K9" i="1" s="1"/>
  <c r="G9" i="1"/>
  <c r="O8" i="1"/>
  <c r="P8" i="1" s="1"/>
  <c r="J8" i="1"/>
  <c r="K8" i="1" s="1"/>
  <c r="G8" i="1"/>
  <c r="O7" i="1"/>
  <c r="P7" i="1" s="1"/>
  <c r="J7" i="1"/>
  <c r="K7" i="1" s="1"/>
  <c r="G7" i="1"/>
  <c r="K5" i="1"/>
  <c r="M5" i="1" s="1"/>
  <c r="J5" i="1"/>
  <c r="I5" i="1"/>
  <c r="O5" i="1" s="1"/>
  <c r="P5" i="1" s="1"/>
  <c r="G5" i="1"/>
  <c r="K4" i="1"/>
  <c r="L4" i="1" s="1"/>
  <c r="J4" i="1"/>
  <c r="I4" i="1"/>
  <c r="O4" i="1" s="1"/>
  <c r="P4" i="1" s="1"/>
  <c r="G4" i="1"/>
  <c r="E67" i="1" s="1"/>
  <c r="M7" i="1" l="1"/>
  <c r="L7" i="1"/>
  <c r="L20" i="1"/>
  <c r="M20" i="1"/>
  <c r="M23" i="1"/>
  <c r="L23" i="1"/>
  <c r="M17" i="1"/>
  <c r="L17" i="1"/>
  <c r="M19" i="1"/>
  <c r="L19" i="1"/>
  <c r="M32" i="1"/>
  <c r="L32" i="1"/>
  <c r="M9" i="1"/>
  <c r="L9" i="1"/>
  <c r="M11" i="1"/>
  <c r="L11" i="1"/>
  <c r="L16" i="1"/>
  <c r="M16" i="1"/>
  <c r="M36" i="1"/>
  <c r="L36" i="1"/>
  <c r="P67" i="1"/>
  <c r="P68" i="1" s="1"/>
  <c r="L8" i="1"/>
  <c r="M8" i="1"/>
  <c r="M13" i="1"/>
  <c r="L13" i="1"/>
  <c r="M15" i="1"/>
  <c r="L15" i="1"/>
  <c r="M21" i="1"/>
  <c r="L21" i="1"/>
  <c r="L24" i="1"/>
  <c r="M24" i="1"/>
  <c r="L26" i="1"/>
  <c r="M26" i="1"/>
  <c r="L27" i="1"/>
  <c r="M27" i="1"/>
  <c r="L28" i="1"/>
  <c r="M28" i="1"/>
  <c r="M39" i="1"/>
  <c r="L39" i="1"/>
  <c r="M41" i="1"/>
  <c r="M42" i="1"/>
  <c r="K67" i="1"/>
  <c r="K68" i="1" s="1"/>
  <c r="K70" i="1" s="1"/>
  <c r="L5" i="1"/>
  <c r="L14" i="1"/>
  <c r="L18" i="1"/>
  <c r="M4" i="1"/>
  <c r="L34" i="1"/>
  <c r="L35" i="1"/>
  <c r="L38" i="1"/>
  <c r="L10" i="1"/>
  <c r="L12" i="1"/>
  <c r="L30" i="1"/>
</calcChain>
</file>

<file path=xl/sharedStrings.xml><?xml version="1.0" encoding="utf-8"?>
<sst xmlns="http://schemas.openxmlformats.org/spreadsheetml/2006/main" count="165" uniqueCount="141">
  <si>
    <t xml:space="preserve">datum: 18-oktober-2020    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</si>
  <si>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</si>
  <si>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</si>
  <si>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</si>
  <si>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</si>
  <si>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</si>
  <si>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</si>
  <si>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</si>
  <si>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</si>
  <si>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</si>
  <si>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</si>
  <si>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</si>
  <si>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</si>
  <si>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</si>
  <si>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</si>
  <si>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</si>
  <si>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</si>
  <si>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Gold&amp;Silver Royalties</t>
  </si>
  <si>
    <t>Royal Gold</t>
  </si>
  <si>
    <t>RGLD</t>
  </si>
  <si>
    <t>Wheathon Precious Metals</t>
  </si>
  <si>
    <t>WPM</t>
  </si>
  <si>
    <t>Edelmetaal  Miners</t>
  </si>
  <si>
    <t>Ascot Resources</t>
  </si>
  <si>
    <t>AOT^</t>
  </si>
  <si>
    <t>Bear Creek Mining</t>
  </si>
  <si>
    <t>BCM^</t>
  </si>
  <si>
    <t>Plato Gold Corp</t>
  </si>
  <si>
    <t>PGC^</t>
  </si>
  <si>
    <t>First Majestic Silver</t>
  </si>
  <si>
    <t>AG</t>
  </si>
  <si>
    <t>Call 2022jan $20</t>
  </si>
  <si>
    <t>Put 2022jan $10</t>
  </si>
  <si>
    <t>Pan American Silver</t>
  </si>
  <si>
    <t>PAAS</t>
  </si>
  <si>
    <t>Coeur Mining Inc</t>
  </si>
  <si>
    <t>CDE</t>
  </si>
  <si>
    <t xml:space="preserve">1.Tudor Gold Corp </t>
  </si>
  <si>
    <t>TUD^</t>
  </si>
  <si>
    <t>2. Silver Elephant Mining Corp</t>
  </si>
  <si>
    <t>ELEF^</t>
  </si>
  <si>
    <t>3. Dolly Varden</t>
  </si>
  <si>
    <t>DV</t>
  </si>
  <si>
    <t>4. Karora Resources Inc</t>
  </si>
  <si>
    <t>KRR</t>
  </si>
  <si>
    <t>5. GR silver Mining ltd</t>
  </si>
  <si>
    <t>GRSL</t>
  </si>
  <si>
    <t>6. Defiance Silver Corp</t>
  </si>
  <si>
    <t>DEF</t>
  </si>
  <si>
    <t>7.Silver Viper Minerals</t>
  </si>
  <si>
    <t>VIPR</t>
  </si>
  <si>
    <t>8. Granada Gold Mine Inc</t>
  </si>
  <si>
    <t>GGM</t>
  </si>
  <si>
    <t>9.Idaho Champion GM Cananada</t>
  </si>
  <si>
    <t>ITKO</t>
  </si>
  <si>
    <t>10. Contact Gold</t>
  </si>
  <si>
    <t>C</t>
  </si>
  <si>
    <t>Dividend Income</t>
  </si>
  <si>
    <t>Gamco Global G&amp;Nat res</t>
  </si>
  <si>
    <t>GGN</t>
  </si>
  <si>
    <t>Gamco Nat res, Gold &amp; inc trust</t>
  </si>
  <si>
    <t>GNT</t>
  </si>
  <si>
    <t>Sprott Inc</t>
  </si>
  <si>
    <t>SII^</t>
  </si>
  <si>
    <t>Uranium</t>
  </si>
  <si>
    <t>NexGen Energy Ltd</t>
  </si>
  <si>
    <t>NXE^</t>
  </si>
  <si>
    <t>Ur-Energy</t>
  </si>
  <si>
    <t>URG</t>
  </si>
  <si>
    <t>Uranium Royalty Corp</t>
  </si>
  <si>
    <t>URC^</t>
  </si>
  <si>
    <t>EV-metals</t>
  </si>
  <si>
    <t>Lundin Mining Corp</t>
  </si>
  <si>
    <t>LUN^</t>
  </si>
  <si>
    <t>Norilsk Nikkel</t>
  </si>
  <si>
    <t>NILSY</t>
  </si>
  <si>
    <t>American Manganese Inc</t>
  </si>
  <si>
    <t>AMY</t>
  </si>
  <si>
    <t>Base - metals</t>
  </si>
  <si>
    <t>Atico Mining Corp</t>
  </si>
  <si>
    <t>ATY^</t>
  </si>
  <si>
    <t>Ivanhoe Mines</t>
  </si>
  <si>
    <t>IVN</t>
  </si>
  <si>
    <t>Crypto's</t>
  </si>
  <si>
    <t>Bitcoin</t>
  </si>
  <si>
    <t>Ethereum</t>
  </si>
  <si>
    <t>FGS</t>
  </si>
  <si>
    <t>Canopy Growth Compagny</t>
  </si>
  <si>
    <t>WEED^</t>
  </si>
  <si>
    <t>Innovative Industrial Properties</t>
  </si>
  <si>
    <t>IIPR</t>
  </si>
  <si>
    <t>Pretium Resources Inc</t>
  </si>
  <si>
    <t>PVG</t>
  </si>
  <si>
    <t>New Pacific Metals</t>
  </si>
  <si>
    <t>NUAG^</t>
  </si>
  <si>
    <t>ELY Gold Royalties</t>
  </si>
  <si>
    <t>ELY^</t>
  </si>
  <si>
    <t>Franco Nevada</t>
  </si>
  <si>
    <t>FNV</t>
  </si>
  <si>
    <t>Sandstorm Gold</t>
  </si>
  <si>
    <t>SAND</t>
  </si>
  <si>
    <t>Metella Royalty &amp; Streaming Ltd</t>
  </si>
  <si>
    <t>MTA^%</t>
  </si>
  <si>
    <t>Cash</t>
  </si>
  <si>
    <t>Euro/dollar</t>
  </si>
  <si>
    <t>$</t>
  </si>
  <si>
    <t>Nevada Copper Mines</t>
  </si>
  <si>
    <t>NCU</t>
  </si>
  <si>
    <t>Proshares Ultrashort S&amp;P</t>
  </si>
  <si>
    <t>SDS</t>
  </si>
  <si>
    <t>Royal Dutch Shell</t>
  </si>
  <si>
    <t>RDSA</t>
  </si>
  <si>
    <t>Shell Midstream Partners</t>
  </si>
  <si>
    <t>SHLX</t>
  </si>
  <si>
    <t>Opties portfolio 2019/20</t>
  </si>
  <si>
    <t>Amerikaanse dollar</t>
  </si>
  <si>
    <t>Canadese dollar</t>
  </si>
  <si>
    <t>CAD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</si>
  <si>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</si>
  <si>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</si>
  <si>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</si>
  <si>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</si>
  <si>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</si>
  <si>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</si>
  <si>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</si>
  <si>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</si>
  <si>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TOTAL RENDEMENT 2020</t>
  </si>
  <si>
    <t>Watchlist/Koop lijst</t>
  </si>
  <si>
    <t>Rec. Date</t>
  </si>
  <si>
    <t>Rec. Exch rate</t>
  </si>
  <si>
    <t>Rec. Price</t>
  </si>
  <si>
    <t>Euro</t>
  </si>
  <si>
    <t>&lt; or &gt;</t>
  </si>
  <si>
    <t>Div.</t>
  </si>
  <si>
    <t>Buy or Sell</t>
  </si>
  <si>
    <t>Remarks</t>
  </si>
  <si>
    <t>Altria</t>
  </si>
  <si>
    <t>MO</t>
  </si>
  <si>
    <t>&lt;</t>
  </si>
  <si>
    <t>Buy</t>
  </si>
  <si>
    <t>Be patient/ Hold for a long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</si>
</sst>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[$€-2]\ * #,##0_);_([$€-2]\ * \(#,##0\);_([$€-2]\ * &quot;-&quot;??_);_(@_)"/>
    <numFmt numFmtId="167" formatCode="0.0%"/>
    <numFmt numFmtId="168" formatCode="0.0000"/>
    <numFmt numFmtId="169" formatCode="_(* #,##0.000_);_(* \(#,##0.000\);_(* &quot;-&quot;??_);_(@_)"/>
    <numFmt numFmtId="170" formatCode="_(&quot;€&quot;\ * #,##0_);_(&quot;€&quot;\ * \(#,##0\);_(&quot;€&quot;\ * &quot;-&quot;??_);_(@_)"/>
    <numFmt numFmtId="171" formatCode="_ [$€-413]\ * #,##0_ ;_ [$€-413]\ * \-#,##0_ ;_ [$€-413]\ * &quot;-&quot;??_ ;_ @_ "/>
    <numFmt numFmtId="172" formatCode="#,##0.0000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2" xfId="0" applyFont="1" applyBorder="1"/>
    <xf numFmtId="1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/>
    <xf numFmtId="165" fontId="4" fillId="0" borderId="2" xfId="0" applyNumberFormat="1" applyFont="1" applyBorder="1"/>
    <xf numFmtId="2" fontId="4" fillId="0" borderId="2" xfId="0" applyNumberFormat="1" applyFont="1" applyBorder="1"/>
    <xf numFmtId="166" fontId="4" fillId="0" borderId="2" xfId="0" applyNumberFormat="1" applyFont="1" applyBorder="1"/>
    <xf numFmtId="43" fontId="4" fillId="0" borderId="2" xfId="0" applyNumberFormat="1" applyFont="1" applyBorder="1"/>
    <xf numFmtId="167" fontId="4" fillId="0" borderId="2" xfId="3" applyNumberFormat="1" applyFont="1" applyBorder="1"/>
    <xf numFmtId="166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43" fontId="5" fillId="0" borderId="2" xfId="0" applyNumberFormat="1" applyFont="1" applyBorder="1" applyAlignment="1">
      <alignment horizontal="center"/>
    </xf>
    <xf numFmtId="43" fontId="4" fillId="0" borderId="2" xfId="1" applyFont="1" applyBorder="1"/>
    <xf numFmtId="43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/>
    <xf numFmtId="43" fontId="6" fillId="0" borderId="2" xfId="0" applyNumberFormat="1" applyFont="1" applyBorder="1" applyAlignment="1">
      <alignment horizontal="center"/>
    </xf>
    <xf numFmtId="169" fontId="4" fillId="0" borderId="2" xfId="1" applyNumberFormat="1" applyFont="1" applyBorder="1"/>
    <xf numFmtId="1" fontId="4" fillId="0" borderId="2" xfId="0" applyNumberFormat="1" applyFont="1" applyBorder="1"/>
    <xf numFmtId="43" fontId="4" fillId="0" borderId="2" xfId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7" fillId="0" borderId="2" xfId="0" applyFont="1" applyBorder="1"/>
    <xf numFmtId="14" fontId="7" fillId="0" borderId="2" xfId="0" applyNumberFormat="1" applyFont="1" applyBorder="1"/>
    <xf numFmtId="43" fontId="7" fillId="0" borderId="2" xfId="0" applyNumberFormat="1" applyFont="1" applyBorder="1"/>
    <xf numFmtId="43" fontId="7" fillId="0" borderId="2" xfId="0" applyNumberFormat="1" applyFont="1" applyBorder="1" applyAlignment="1">
      <alignment horizontal="right"/>
    </xf>
    <xf numFmtId="43" fontId="4" fillId="0" borderId="2" xfId="1" applyFont="1" applyFill="1" applyBorder="1"/>
    <xf numFmtId="43" fontId="4" fillId="0" borderId="2" xfId="1" applyFont="1" applyFill="1" applyBorder="1" applyAlignment="1">
      <alignment horizontal="right"/>
    </xf>
    <xf numFmtId="166" fontId="4" fillId="0" borderId="2" xfId="2" applyNumberFormat="1" applyFont="1" applyBorder="1"/>
    <xf numFmtId="170" fontId="4" fillId="0" borderId="2" xfId="2" applyNumberFormat="1" applyFont="1" applyBorder="1"/>
    <xf numFmtId="0" fontId="3" fillId="0" borderId="2" xfId="0" applyFont="1" applyBorder="1" applyAlignment="1">
      <alignment horizontal="left"/>
    </xf>
    <xf numFmtId="171" fontId="3" fillId="0" borderId="2" xfId="0" applyNumberFormat="1" applyFont="1" applyBorder="1" applyAlignment="1">
      <alignment horizontal="left"/>
    </xf>
    <xf numFmtId="170" fontId="3" fillId="0" borderId="2" xfId="2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71" fontId="3" fillId="0" borderId="2" xfId="3" applyNumberFormat="1" applyFont="1" applyBorder="1" applyAlignment="1">
      <alignment horizontal="right"/>
    </xf>
    <xf numFmtId="171" fontId="3" fillId="0" borderId="2" xfId="0" applyNumberFormat="1" applyFont="1" applyBorder="1"/>
    <xf numFmtId="9" fontId="3" fillId="0" borderId="2" xfId="3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7" fontId="3" fillId="0" borderId="2" xfId="3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2" fontId="4" fillId="0" borderId="2" xfId="0" applyNumberFormat="1" applyFont="1" applyBorder="1"/>
    <xf numFmtId="167" fontId="4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Formules"/>
      <sheetName val="Dividend"/>
      <sheetName val="Gouddichtheid"/>
      <sheetName val="Watchlist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>
        <row r="3">
          <cell r="P3">
            <v>2.71</v>
          </cell>
        </row>
        <row r="4">
          <cell r="P4">
            <v>1.02</v>
          </cell>
        </row>
        <row r="5">
          <cell r="P5">
            <v>7.01</v>
          </cell>
        </row>
        <row r="6">
          <cell r="P6">
            <v>2.4039999999999999</v>
          </cell>
        </row>
        <row r="7">
          <cell r="P7">
            <v>2.1800000000000002</v>
          </cell>
        </row>
        <row r="8">
          <cell r="P8">
            <v>4.5000000000000005E-2</v>
          </cell>
        </row>
        <row r="9">
          <cell r="P9">
            <v>3.07</v>
          </cell>
        </row>
        <row r="11">
          <cell r="P11">
            <v>0.27</v>
          </cell>
        </row>
        <row r="12">
          <cell r="P12">
            <v>0.06</v>
          </cell>
        </row>
        <row r="13">
          <cell r="P13">
            <v>0.12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8C98-FDE0-AC49-BDFA-4185504FD26F}">
  <dimension ref="A1:P74"/>
  <sheetViews>
    <sheetView tabSelected="1" workbookViewId="0">
      <selection activeCell="Q5" sqref="Q5"/>
    </sheetView>
  </sheetViews>
  <sheetFormatPr baseColWidth="10" defaultRowHeight="16"/>
  <cols>
    <col min="1" max="1" width="19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3" width="5.6640625" bestFit="1" customWidth="1"/>
    <col min="14" max="14" width="4.5" bestFit="1" customWidth="1"/>
    <col min="15" max="15" width="5.1640625" bestFit="1" customWidth="1"/>
    <col min="16" max="16" width="5.5" bestFit="1" customWidth="1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  <c r="N2" s="5" t="s">
        <v>14</v>
      </c>
      <c r="O2" s="2" t="s">
        <v>15</v>
      </c>
      <c r="P2" s="4" t="s">
        <v>16</v>
      </c>
    </row>
    <row r="3" spans="1:16">
      <c r="A3" s="2" t="s">
        <v>17</v>
      </c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8"/>
      <c r="N3" s="9"/>
      <c r="O3" s="6"/>
      <c r="P3" s="8"/>
    </row>
    <row r="4" spans="1:16">
      <c r="A4" s="6" t="s">
        <v>18</v>
      </c>
      <c r="B4" s="6" t="s">
        <v>19</v>
      </c>
      <c r="C4" s="7">
        <v>43364</v>
      </c>
      <c r="D4" s="10">
        <v>16</v>
      </c>
      <c r="E4" s="11">
        <v>1.17</v>
      </c>
      <c r="F4" s="12">
        <v>77</v>
      </c>
      <c r="G4" s="13">
        <f t="shared" ref="G4:G50" si="0">(F4*D4)/E4</f>
        <v>1052.9914529914531</v>
      </c>
      <c r="H4" s="6">
        <v>122.47</v>
      </c>
      <c r="I4" s="14">
        <f>[1]Dividend!P7</f>
        <v>2.1800000000000002</v>
      </c>
      <c r="J4" s="11">
        <f>J64</f>
        <v>1.1718999999999999</v>
      </c>
      <c r="K4" s="13">
        <f t="shared" ref="K4:K50" si="1">((H4+I4)/J4)*D4</f>
        <v>1701.8516938305318</v>
      </c>
      <c r="L4" s="15">
        <f t="shared" ref="L4:L42" si="2">(K4-G4)/G4</f>
        <v>0.6162065598877613</v>
      </c>
      <c r="M4" s="16">
        <f>K4-G4</f>
        <v>648.86024083907864</v>
      </c>
      <c r="N4" s="17">
        <v>145.33000000000001</v>
      </c>
      <c r="O4" s="14">
        <f>(N4+I4)*0.75</f>
        <v>110.63250000000002</v>
      </c>
      <c r="P4" s="18">
        <f>O4-F4</f>
        <v>33.632500000000022</v>
      </c>
    </row>
    <row r="5" spans="1:16">
      <c r="A5" s="6" t="s">
        <v>20</v>
      </c>
      <c r="B5" s="6" t="s">
        <v>21</v>
      </c>
      <c r="C5" s="7">
        <v>43682</v>
      </c>
      <c r="D5" s="10">
        <v>40</v>
      </c>
      <c r="E5" s="11">
        <v>1.1200000000000001</v>
      </c>
      <c r="F5" s="6">
        <v>30.41</v>
      </c>
      <c r="G5" s="13">
        <f t="shared" si="0"/>
        <v>1086.0714285714284</v>
      </c>
      <c r="H5" s="6">
        <v>49.86</v>
      </c>
      <c r="I5" s="14">
        <f>[1]Dividend!P4</f>
        <v>1.02</v>
      </c>
      <c r="J5" s="11">
        <f>J64</f>
        <v>1.1718999999999999</v>
      </c>
      <c r="K5" s="13">
        <f t="shared" si="1"/>
        <v>1736.6669511050432</v>
      </c>
      <c r="L5" s="15">
        <f t="shared" si="2"/>
        <v>0.59903566691684362</v>
      </c>
      <c r="M5" s="16">
        <f t="shared" ref="M5:M42" si="3">K5-G5</f>
        <v>650.59552253361471</v>
      </c>
      <c r="N5" s="17">
        <v>56.21</v>
      </c>
      <c r="O5" s="14">
        <f>(N5+I5)*0.75</f>
        <v>42.922499999999999</v>
      </c>
      <c r="P5" s="18">
        <f t="shared" ref="P5:P39" si="4">O5-F5</f>
        <v>12.512499999999999</v>
      </c>
    </row>
    <row r="6" spans="1:16">
      <c r="A6" s="2" t="s">
        <v>22</v>
      </c>
      <c r="B6" s="6"/>
      <c r="C6" s="7"/>
      <c r="D6" s="6"/>
      <c r="E6" s="6"/>
      <c r="F6" s="19"/>
      <c r="G6" s="13"/>
      <c r="H6" s="6"/>
      <c r="I6" s="6"/>
      <c r="J6" s="6"/>
      <c r="K6" s="13"/>
      <c r="L6" s="15"/>
      <c r="M6" s="16"/>
      <c r="N6" s="17"/>
      <c r="O6" s="14"/>
      <c r="P6" s="20"/>
    </row>
    <row r="7" spans="1:16">
      <c r="A7" s="6" t="s">
        <v>23</v>
      </c>
      <c r="B7" s="6" t="s">
        <v>24</v>
      </c>
      <c r="C7" s="7">
        <v>43837</v>
      </c>
      <c r="D7" s="6">
        <v>720</v>
      </c>
      <c r="E7" s="21">
        <v>1.45</v>
      </c>
      <c r="F7" s="19">
        <v>0.81</v>
      </c>
      <c r="G7" s="13">
        <f t="shared" si="0"/>
        <v>402.20689655172418</v>
      </c>
      <c r="H7" s="6">
        <v>1.1599999999999999</v>
      </c>
      <c r="I7" s="6">
        <v>0</v>
      </c>
      <c r="J7" s="21">
        <f>J65</f>
        <v>1.55</v>
      </c>
      <c r="K7" s="13">
        <f t="shared" si="1"/>
        <v>538.83870967741927</v>
      </c>
      <c r="L7" s="15">
        <f t="shared" si="2"/>
        <v>0.33970529669454363</v>
      </c>
      <c r="M7" s="16">
        <f t="shared" si="3"/>
        <v>136.63181312569509</v>
      </c>
      <c r="N7" s="17">
        <v>1.36</v>
      </c>
      <c r="O7" s="14">
        <f>(N7+I7)*0.33</f>
        <v>0.44880000000000003</v>
      </c>
      <c r="P7" s="22">
        <f t="shared" si="4"/>
        <v>-0.36120000000000002</v>
      </c>
    </row>
    <row r="8" spans="1:16">
      <c r="A8" s="6" t="s">
        <v>25</v>
      </c>
      <c r="B8" s="6" t="s">
        <v>26</v>
      </c>
      <c r="C8" s="7">
        <v>43850</v>
      </c>
      <c r="D8" s="6">
        <v>122</v>
      </c>
      <c r="E8" s="21">
        <v>1.45</v>
      </c>
      <c r="F8" s="19">
        <v>2.4700000000000002</v>
      </c>
      <c r="G8" s="13">
        <f t="shared" si="0"/>
        <v>207.82068965517243</v>
      </c>
      <c r="H8" s="6">
        <v>3.22</v>
      </c>
      <c r="I8" s="6">
        <v>0</v>
      </c>
      <c r="J8" s="21">
        <f>J65</f>
        <v>1.55</v>
      </c>
      <c r="K8" s="13">
        <f t="shared" si="1"/>
        <v>253.4451612903226</v>
      </c>
      <c r="L8" s="15">
        <f t="shared" si="2"/>
        <v>0.21953767794175266</v>
      </c>
      <c r="M8" s="16">
        <f t="shared" si="3"/>
        <v>45.624471635150172</v>
      </c>
      <c r="N8" s="17">
        <v>3.9</v>
      </c>
      <c r="O8" s="14">
        <f>(N8+I8)*0.33</f>
        <v>1.2869999999999999</v>
      </c>
      <c r="P8" s="22">
        <f t="shared" si="4"/>
        <v>-1.1830000000000003</v>
      </c>
    </row>
    <row r="9" spans="1:16">
      <c r="A9" s="6" t="s">
        <v>27</v>
      </c>
      <c r="B9" s="6" t="s">
        <v>28</v>
      </c>
      <c r="C9" s="7">
        <v>43881</v>
      </c>
      <c r="D9" s="6">
        <v>6400</v>
      </c>
      <c r="E9" s="21">
        <v>1.43</v>
      </c>
      <c r="F9" s="23">
        <v>4.4999999999999998E-2</v>
      </c>
      <c r="G9" s="13">
        <f t="shared" si="0"/>
        <v>201.39860139860141</v>
      </c>
      <c r="H9" s="6">
        <v>3.5000000000000003E-2</v>
      </c>
      <c r="I9" s="6">
        <v>0</v>
      </c>
      <c r="J9" s="21">
        <f>J65</f>
        <v>1.55</v>
      </c>
      <c r="K9" s="13">
        <f t="shared" si="1"/>
        <v>144.51612903225808</v>
      </c>
      <c r="L9" s="15">
        <f t="shared" si="2"/>
        <v>-0.28243727598566309</v>
      </c>
      <c r="M9" s="16">
        <f t="shared" si="3"/>
        <v>-56.882472366343336</v>
      </c>
      <c r="N9" s="17">
        <v>0.05</v>
      </c>
      <c r="O9" s="14">
        <f>(N9+I9)*0.33</f>
        <v>1.6500000000000001E-2</v>
      </c>
      <c r="P9" s="22">
        <f t="shared" si="4"/>
        <v>-2.8499999999999998E-2</v>
      </c>
    </row>
    <row r="10" spans="1:16">
      <c r="A10" s="6" t="s">
        <v>29</v>
      </c>
      <c r="B10" s="6" t="s">
        <v>30</v>
      </c>
      <c r="C10" s="7">
        <v>44033</v>
      </c>
      <c r="D10" s="6">
        <v>78</v>
      </c>
      <c r="E10" s="21">
        <v>1.1000000000000001</v>
      </c>
      <c r="F10" s="19">
        <v>8.92</v>
      </c>
      <c r="G10" s="13">
        <f t="shared" si="0"/>
        <v>632.5090909090909</v>
      </c>
      <c r="H10" s="6">
        <v>10.51</v>
      </c>
      <c r="I10" s="6">
        <v>0</v>
      </c>
      <c r="J10" s="6">
        <f>J64</f>
        <v>1.1718999999999999</v>
      </c>
      <c r="K10" s="13">
        <f t="shared" si="1"/>
        <v>699.53067667889752</v>
      </c>
      <c r="L10" s="15">
        <f t="shared" si="2"/>
        <v>0.1059614584724435</v>
      </c>
      <c r="M10" s="16">
        <f t="shared" si="3"/>
        <v>67.02158576980662</v>
      </c>
      <c r="N10" s="17">
        <v>14.25</v>
      </c>
      <c r="O10" s="14">
        <f>(N10+I10)*0.5</f>
        <v>7.125</v>
      </c>
      <c r="P10" s="22">
        <f t="shared" si="4"/>
        <v>-1.7949999999999999</v>
      </c>
    </row>
    <row r="11" spans="1:16">
      <c r="A11" s="6" t="s">
        <v>31</v>
      </c>
      <c r="B11" s="6" t="s">
        <v>30</v>
      </c>
      <c r="C11" s="7">
        <v>44033</v>
      </c>
      <c r="D11" s="6">
        <v>1</v>
      </c>
      <c r="E11" s="21">
        <v>1.145</v>
      </c>
      <c r="F11" s="19">
        <v>-177</v>
      </c>
      <c r="G11" s="13">
        <f>(F11*D11)/E11</f>
        <v>-154.58515283842794</v>
      </c>
      <c r="H11" s="6">
        <v>-153</v>
      </c>
      <c r="I11" s="6">
        <v>0</v>
      </c>
      <c r="J11" s="21">
        <f>J64</f>
        <v>1.1718999999999999</v>
      </c>
      <c r="K11" s="13">
        <f>((H11+I11)/J11)*D11</f>
        <v>-130.55721477941805</v>
      </c>
      <c r="L11" s="15">
        <f>-(K11-G11)/G11</f>
        <v>0.15543496653992278</v>
      </c>
      <c r="M11" s="16">
        <f t="shared" si="3"/>
        <v>24.027938059009898</v>
      </c>
      <c r="N11" s="17"/>
      <c r="O11" s="14"/>
      <c r="P11" s="22"/>
    </row>
    <row r="12" spans="1:16">
      <c r="A12" s="6" t="s">
        <v>32</v>
      </c>
      <c r="B12" s="6" t="s">
        <v>30</v>
      </c>
      <c r="C12" s="7">
        <v>44033</v>
      </c>
      <c r="D12" s="6">
        <v>1</v>
      </c>
      <c r="E12" s="21">
        <v>1.145</v>
      </c>
      <c r="F12" s="19">
        <v>-261</v>
      </c>
      <c r="G12" s="13">
        <f t="shared" ref="G12" si="5">(F12*D12)/E12</f>
        <v>-227.94759825327512</v>
      </c>
      <c r="H12" s="6">
        <v>-293</v>
      </c>
      <c r="I12" s="6">
        <v>0</v>
      </c>
      <c r="J12" s="21">
        <f>J64</f>
        <v>1.1718999999999999</v>
      </c>
      <c r="K12" s="13">
        <f>((H12+I12)/J12)*D12</f>
        <v>-250.02133287823193</v>
      </c>
      <c r="L12" s="15">
        <f>-(K12-G12)/G12</f>
        <v>-9.6836881783814374E-2</v>
      </c>
      <c r="M12" s="16">
        <f t="shared" si="3"/>
        <v>-22.073734624956813</v>
      </c>
      <c r="N12" s="17"/>
      <c r="O12" s="14"/>
      <c r="P12" s="22"/>
    </row>
    <row r="13" spans="1:16">
      <c r="A13" s="6" t="s">
        <v>33</v>
      </c>
      <c r="B13" s="6" t="s">
        <v>34</v>
      </c>
      <c r="C13" s="7">
        <v>43958</v>
      </c>
      <c r="D13" s="6">
        <v>20</v>
      </c>
      <c r="E13" s="21">
        <v>1.08</v>
      </c>
      <c r="F13" s="19">
        <v>21.5</v>
      </c>
      <c r="G13" s="13">
        <f t="shared" si="0"/>
        <v>398.1481481481481</v>
      </c>
      <c r="H13" s="6">
        <v>32.880000000000003</v>
      </c>
      <c r="I13" s="6">
        <v>0</v>
      </c>
      <c r="J13" s="6">
        <f>J64</f>
        <v>1.1718999999999999</v>
      </c>
      <c r="K13" s="13">
        <f t="shared" si="1"/>
        <v>561.14002901271442</v>
      </c>
      <c r="L13" s="15">
        <f t="shared" si="2"/>
        <v>0.40937495659007361</v>
      </c>
      <c r="M13" s="16">
        <f t="shared" si="3"/>
        <v>162.99188086456633</v>
      </c>
      <c r="N13" s="17">
        <v>39.15</v>
      </c>
      <c r="O13" s="14">
        <f>(N13+I13)*0.5</f>
        <v>19.574999999999999</v>
      </c>
      <c r="P13" s="22">
        <f>O13-F13</f>
        <v>-1.9250000000000007</v>
      </c>
    </row>
    <row r="14" spans="1:16">
      <c r="A14" s="6" t="s">
        <v>35</v>
      </c>
      <c r="B14" s="6" t="s">
        <v>36</v>
      </c>
      <c r="C14" s="7">
        <v>43994</v>
      </c>
      <c r="D14" s="6">
        <v>90</v>
      </c>
      <c r="E14" s="21">
        <v>1.1255999999999999</v>
      </c>
      <c r="F14" s="19">
        <v>5</v>
      </c>
      <c r="G14" s="13">
        <f t="shared" si="0"/>
        <v>399.78678038379536</v>
      </c>
      <c r="H14" s="6">
        <v>7.93</v>
      </c>
      <c r="I14" s="6">
        <v>0</v>
      </c>
      <c r="J14" s="6">
        <f>J64</f>
        <v>1.1718999999999999</v>
      </c>
      <c r="K14" s="13">
        <f t="shared" si="1"/>
        <v>609.01100776516773</v>
      </c>
      <c r="L14" s="15">
        <f t="shared" si="2"/>
        <v>0.52333953408993938</v>
      </c>
      <c r="M14" s="16">
        <f t="shared" si="3"/>
        <v>209.22422738137237</v>
      </c>
      <c r="N14" s="17">
        <v>8.9499999999999993</v>
      </c>
      <c r="O14" s="14">
        <f>(N14+I14)*0.5</f>
        <v>4.4749999999999996</v>
      </c>
      <c r="P14" s="22">
        <f t="shared" si="4"/>
        <v>-0.52500000000000036</v>
      </c>
    </row>
    <row r="15" spans="1:16">
      <c r="A15" s="6" t="s">
        <v>37</v>
      </c>
      <c r="B15" s="6" t="s">
        <v>38</v>
      </c>
      <c r="C15" s="7">
        <v>44054</v>
      </c>
      <c r="D15" s="6">
        <v>100</v>
      </c>
      <c r="E15" s="21">
        <v>1.58</v>
      </c>
      <c r="F15" s="19">
        <v>3.65</v>
      </c>
      <c r="G15" s="13">
        <f t="shared" si="0"/>
        <v>231.01265822784808</v>
      </c>
      <c r="H15" s="6">
        <v>3.07</v>
      </c>
      <c r="I15" s="6">
        <v>0</v>
      </c>
      <c r="J15" s="21">
        <f>J65</f>
        <v>1.55</v>
      </c>
      <c r="K15" s="13">
        <f t="shared" si="1"/>
        <v>198.06451612903226</v>
      </c>
      <c r="L15" s="15">
        <f t="shared" si="2"/>
        <v>-0.14262483429076439</v>
      </c>
      <c r="M15" s="16">
        <f t="shared" si="3"/>
        <v>-32.948142098815822</v>
      </c>
      <c r="N15" s="17">
        <v>3.65</v>
      </c>
      <c r="O15" s="14">
        <f>(N15+I15)*0.5</f>
        <v>1.825</v>
      </c>
      <c r="P15" s="22">
        <f>O15-F15</f>
        <v>-1.825</v>
      </c>
    </row>
    <row r="16" spans="1:16">
      <c r="A16" s="6" t="s">
        <v>39</v>
      </c>
      <c r="B16" s="6" t="s">
        <v>40</v>
      </c>
      <c r="C16" s="7">
        <v>44054</v>
      </c>
      <c r="D16" s="6">
        <v>600</v>
      </c>
      <c r="E16" s="21">
        <v>1.58</v>
      </c>
      <c r="F16" s="19">
        <v>0.48</v>
      </c>
      <c r="G16" s="13">
        <f t="shared" si="0"/>
        <v>182.27848101265823</v>
      </c>
      <c r="H16" s="6">
        <v>0.5</v>
      </c>
      <c r="I16" s="6">
        <v>0</v>
      </c>
      <c r="J16" s="21">
        <f>J65</f>
        <v>1.55</v>
      </c>
      <c r="K16" s="13">
        <f t="shared" si="1"/>
        <v>193.54838709677418</v>
      </c>
      <c r="L16" s="15">
        <f t="shared" si="2"/>
        <v>6.1827956989247194E-2</v>
      </c>
      <c r="M16" s="16">
        <f t="shared" si="3"/>
        <v>11.269906084115945</v>
      </c>
      <c r="N16" s="17">
        <v>0.51</v>
      </c>
      <c r="O16" s="14">
        <f>(N16+I16)*0.5</f>
        <v>0.255</v>
      </c>
      <c r="P16" s="22">
        <f>O16-F16</f>
        <v>-0.22499999999999998</v>
      </c>
    </row>
    <row r="17" spans="1:16">
      <c r="A17" s="6" t="s">
        <v>41</v>
      </c>
      <c r="B17" s="6" t="s">
        <v>42</v>
      </c>
      <c r="C17" s="7">
        <v>44054</v>
      </c>
      <c r="D17" s="6">
        <v>300</v>
      </c>
      <c r="E17" s="21">
        <v>1.58</v>
      </c>
      <c r="F17" s="19">
        <v>0.94</v>
      </c>
      <c r="G17" s="13">
        <f t="shared" si="0"/>
        <v>178.48101265822785</v>
      </c>
      <c r="H17" s="6">
        <v>0.87</v>
      </c>
      <c r="I17" s="6">
        <v>0</v>
      </c>
      <c r="J17" s="21">
        <f>J65</f>
        <v>1.55</v>
      </c>
      <c r="K17" s="13">
        <f t="shared" si="1"/>
        <v>168.38709677419354</v>
      </c>
      <c r="L17" s="15">
        <f t="shared" si="2"/>
        <v>-5.6554564172958226E-2</v>
      </c>
      <c r="M17" s="16">
        <f t="shared" si="3"/>
        <v>-10.093915884034317</v>
      </c>
      <c r="N17" s="17">
        <v>1.06</v>
      </c>
      <c r="O17" s="14">
        <f>(N17+I17)*0.5</f>
        <v>0.53</v>
      </c>
      <c r="P17" s="22">
        <f>O17-F17</f>
        <v>-0.40999999999999992</v>
      </c>
    </row>
    <row r="18" spans="1:16">
      <c r="A18" s="6" t="s">
        <v>43</v>
      </c>
      <c r="B18" s="6" t="s">
        <v>44</v>
      </c>
      <c r="C18" s="7">
        <v>44054</v>
      </c>
      <c r="D18" s="6">
        <v>100</v>
      </c>
      <c r="E18" s="21">
        <v>1.58</v>
      </c>
      <c r="F18" s="19">
        <v>3.64</v>
      </c>
      <c r="G18" s="13">
        <f t="shared" si="0"/>
        <v>230.37974683544303</v>
      </c>
      <c r="H18" s="6">
        <v>3.57</v>
      </c>
      <c r="I18" s="6">
        <v>0</v>
      </c>
      <c r="J18" s="21">
        <f>J65</f>
        <v>1.55</v>
      </c>
      <c r="K18" s="13">
        <f t="shared" si="1"/>
        <v>230.32258064516128</v>
      </c>
      <c r="L18" s="15">
        <f t="shared" si="2"/>
        <v>-2.481389578163795E-4</v>
      </c>
      <c r="M18" s="16">
        <f t="shared" si="3"/>
        <v>-5.7166190281748186E-2</v>
      </c>
      <c r="N18" s="17">
        <v>3.64</v>
      </c>
      <c r="O18" s="14">
        <f>(N18+I18)*0.5</f>
        <v>1.82</v>
      </c>
      <c r="P18" s="22">
        <f>O18-F18</f>
        <v>-1.82</v>
      </c>
    </row>
    <row r="19" spans="1:16">
      <c r="A19" s="6" t="s">
        <v>45</v>
      </c>
      <c r="B19" s="6" t="s">
        <v>46</v>
      </c>
      <c r="C19" s="7">
        <v>44077</v>
      </c>
      <c r="D19" s="6">
        <v>400</v>
      </c>
      <c r="E19" s="21">
        <v>1.55</v>
      </c>
      <c r="F19" s="19">
        <v>0.86</v>
      </c>
      <c r="G19" s="13">
        <f t="shared" si="0"/>
        <v>221.93548387096774</v>
      </c>
      <c r="H19" s="6">
        <v>0.57999999999999996</v>
      </c>
      <c r="I19" s="6">
        <v>0</v>
      </c>
      <c r="J19" s="21">
        <f>J65</f>
        <v>1.55</v>
      </c>
      <c r="K19" s="13">
        <f t="shared" si="1"/>
        <v>149.67741935483869</v>
      </c>
      <c r="L19" s="15">
        <f t="shared" si="2"/>
        <v>-0.32558139534883729</v>
      </c>
      <c r="M19" s="16">
        <f t="shared" si="3"/>
        <v>-72.258064516129053</v>
      </c>
      <c r="N19" s="17">
        <v>0.91</v>
      </c>
      <c r="O19" s="14">
        <f>(N19+I19)*0.5</f>
        <v>0.45500000000000002</v>
      </c>
      <c r="P19" s="22">
        <f>O19-F19</f>
        <v>-0.40499999999999997</v>
      </c>
    </row>
    <row r="20" spans="1:16">
      <c r="A20" s="6" t="s">
        <v>47</v>
      </c>
      <c r="B20" s="6" t="s">
        <v>48</v>
      </c>
      <c r="C20" s="7">
        <v>44077</v>
      </c>
      <c r="D20" s="6">
        <v>700</v>
      </c>
      <c r="E20" s="21">
        <v>1.55</v>
      </c>
      <c r="F20" s="19">
        <v>0.48499999999999999</v>
      </c>
      <c r="G20" s="13">
        <f t="shared" si="0"/>
        <v>219.03225806451613</v>
      </c>
      <c r="H20" s="6">
        <v>0.64</v>
      </c>
      <c r="I20" s="6">
        <v>0</v>
      </c>
      <c r="J20" s="21">
        <f>J65</f>
        <v>1.55</v>
      </c>
      <c r="K20" s="13">
        <f t="shared" si="1"/>
        <v>289.03225806451616</v>
      </c>
      <c r="L20" s="15">
        <f t="shared" si="2"/>
        <v>0.31958762886597952</v>
      </c>
      <c r="M20" s="16">
        <f t="shared" si="3"/>
        <v>70.000000000000028</v>
      </c>
      <c r="N20" s="17">
        <v>0.56000000000000005</v>
      </c>
      <c r="O20" s="14">
        <f>(N20+I20)*0.5</f>
        <v>0.28000000000000003</v>
      </c>
      <c r="P20" s="22">
        <f>O20-F20</f>
        <v>-0.20499999999999996</v>
      </c>
    </row>
    <row r="21" spans="1:16">
      <c r="A21" s="6" t="s">
        <v>49</v>
      </c>
      <c r="B21" s="6" t="s">
        <v>50</v>
      </c>
      <c r="C21" s="7">
        <v>44096</v>
      </c>
      <c r="D21" s="6">
        <v>500</v>
      </c>
      <c r="E21" s="21">
        <v>1.56</v>
      </c>
      <c r="F21" s="19">
        <v>0.6</v>
      </c>
      <c r="G21" s="13">
        <f t="shared" si="0"/>
        <v>192.30769230769229</v>
      </c>
      <c r="H21" s="6">
        <v>0.51</v>
      </c>
      <c r="I21" s="6">
        <v>0</v>
      </c>
      <c r="J21" s="21">
        <f>J65</f>
        <v>1.55</v>
      </c>
      <c r="K21" s="13">
        <f t="shared" si="1"/>
        <v>164.51612903225808</v>
      </c>
      <c r="L21" s="15">
        <f t="shared" si="2"/>
        <v>-0.14451612903225791</v>
      </c>
      <c r="M21" s="16">
        <f t="shared" si="3"/>
        <v>-27.791563275434214</v>
      </c>
      <c r="N21" s="17">
        <v>0.7</v>
      </c>
      <c r="O21" s="14">
        <f>(N21+I21)*0.5</f>
        <v>0.35</v>
      </c>
      <c r="P21" s="22">
        <f>O21-F21</f>
        <v>-0.25</v>
      </c>
    </row>
    <row r="22" spans="1:16">
      <c r="A22" s="6" t="s">
        <v>51</v>
      </c>
      <c r="B22" s="6" t="s">
        <v>52</v>
      </c>
      <c r="C22" s="7">
        <v>44088</v>
      </c>
      <c r="D22" s="6">
        <v>1200</v>
      </c>
      <c r="E22" s="21">
        <v>1.56</v>
      </c>
      <c r="F22" s="19">
        <v>0.24</v>
      </c>
      <c r="G22" s="13">
        <f t="shared" si="0"/>
        <v>184.61538461538461</v>
      </c>
      <c r="H22" s="6">
        <v>0.24</v>
      </c>
      <c r="I22" s="6">
        <v>0</v>
      </c>
      <c r="J22" s="21">
        <f>J65</f>
        <v>1.55</v>
      </c>
      <c r="K22" s="13">
        <f t="shared" si="1"/>
        <v>185.8064516129032</v>
      </c>
      <c r="L22" s="15">
        <f t="shared" si="2"/>
        <v>6.4516129032256946E-3</v>
      </c>
      <c r="M22" s="16">
        <f t="shared" si="3"/>
        <v>1.1910669975185897</v>
      </c>
      <c r="N22" s="17">
        <v>0.24</v>
      </c>
      <c r="O22" s="14">
        <f>(N22+I22)*0.5</f>
        <v>0.12</v>
      </c>
      <c r="P22" s="22">
        <f>O22-F22</f>
        <v>-0.12</v>
      </c>
    </row>
    <row r="23" spans="1:16">
      <c r="A23" s="6" t="s">
        <v>53</v>
      </c>
      <c r="B23" s="6" t="s">
        <v>54</v>
      </c>
      <c r="C23" s="7">
        <v>44102</v>
      </c>
      <c r="D23" s="6">
        <v>1500</v>
      </c>
      <c r="E23" s="21">
        <v>1.56</v>
      </c>
      <c r="F23" s="19">
        <v>0.23</v>
      </c>
      <c r="G23" s="13">
        <f t="shared" si="0"/>
        <v>221.15384615384616</v>
      </c>
      <c r="H23" s="6">
        <v>0.25</v>
      </c>
      <c r="I23" s="6">
        <v>0</v>
      </c>
      <c r="J23" s="21">
        <f>J65</f>
        <v>1.55</v>
      </c>
      <c r="K23" s="13">
        <f t="shared" si="1"/>
        <v>241.93548387096774</v>
      </c>
      <c r="L23" s="15">
        <f t="shared" si="2"/>
        <v>9.396914446002802E-2</v>
      </c>
      <c r="M23" s="16">
        <f t="shared" si="3"/>
        <v>20.781637717121583</v>
      </c>
      <c r="N23" s="17">
        <v>0.28999999999999998</v>
      </c>
      <c r="O23" s="14">
        <f t="shared" ref="O23:O24" si="6">(N23+I23)*0.5</f>
        <v>0.14499999999999999</v>
      </c>
      <c r="P23" s="22">
        <f t="shared" ref="P23:P24" si="7">O23-F23</f>
        <v>-8.500000000000002E-2</v>
      </c>
    </row>
    <row r="24" spans="1:16">
      <c r="A24" s="6" t="s">
        <v>55</v>
      </c>
      <c r="B24" s="6" t="s">
        <v>56</v>
      </c>
      <c r="C24" s="7">
        <v>44103</v>
      </c>
      <c r="D24" s="6">
        <v>1750</v>
      </c>
      <c r="E24" s="21">
        <v>1.56</v>
      </c>
      <c r="F24" s="19">
        <v>0.185</v>
      </c>
      <c r="G24" s="13">
        <f t="shared" si="0"/>
        <v>207.53205128205127</v>
      </c>
      <c r="H24" s="6">
        <v>0.17499999999999999</v>
      </c>
      <c r="I24" s="6">
        <v>0</v>
      </c>
      <c r="J24" s="21">
        <f>J65</f>
        <v>1.55</v>
      </c>
      <c r="K24" s="13">
        <f t="shared" si="1"/>
        <v>197.58064516129031</v>
      </c>
      <c r="L24" s="15">
        <f t="shared" si="2"/>
        <v>-4.7951176983435075E-2</v>
      </c>
      <c r="M24" s="16">
        <f t="shared" si="3"/>
        <v>-9.9514061207609643</v>
      </c>
      <c r="N24" s="17">
        <v>0.185</v>
      </c>
      <c r="O24" s="14">
        <f t="shared" si="6"/>
        <v>9.2499999999999999E-2</v>
      </c>
      <c r="P24" s="22">
        <f t="shared" si="7"/>
        <v>-9.2499999999999999E-2</v>
      </c>
    </row>
    <row r="25" spans="1:16">
      <c r="A25" s="2" t="s">
        <v>57</v>
      </c>
      <c r="B25" s="6"/>
      <c r="C25" s="7"/>
      <c r="D25" s="6"/>
      <c r="E25" s="21"/>
      <c r="F25" s="19"/>
      <c r="G25" s="13"/>
      <c r="H25" s="6"/>
      <c r="I25" s="6"/>
      <c r="J25" s="6"/>
      <c r="K25" s="13"/>
      <c r="L25" s="15"/>
      <c r="M25" s="16"/>
      <c r="N25" s="9"/>
      <c r="O25" s="14"/>
      <c r="P25" s="20"/>
    </row>
    <row r="26" spans="1:16">
      <c r="A26" s="6" t="s">
        <v>58</v>
      </c>
      <c r="B26" s="6" t="s">
        <v>59</v>
      </c>
      <c r="C26" s="7">
        <v>43906</v>
      </c>
      <c r="D26" s="6">
        <v>900</v>
      </c>
      <c r="E26" s="21">
        <v>1.1200000000000001</v>
      </c>
      <c r="F26" s="19">
        <v>2.5</v>
      </c>
      <c r="G26" s="13">
        <f t="shared" si="0"/>
        <v>2008.9285714285713</v>
      </c>
      <c r="H26" s="6">
        <v>3.48</v>
      </c>
      <c r="I26" s="12">
        <f>[1]Dividend!P11</f>
        <v>0.27</v>
      </c>
      <c r="J26" s="6">
        <f>J64</f>
        <v>1.1718999999999999</v>
      </c>
      <c r="K26" s="13">
        <f t="shared" si="1"/>
        <v>2879.938561310692</v>
      </c>
      <c r="L26" s="15">
        <f t="shared" si="2"/>
        <v>0.43356941718576675</v>
      </c>
      <c r="M26" s="16">
        <f t="shared" si="3"/>
        <v>871.00998988212064</v>
      </c>
      <c r="N26" s="9">
        <v>3.76</v>
      </c>
      <c r="O26" s="14">
        <f>(N26+I26)*0.75</f>
        <v>3.0224999999999995</v>
      </c>
      <c r="P26" s="18">
        <f t="shared" si="4"/>
        <v>0.52249999999999952</v>
      </c>
    </row>
    <row r="27" spans="1:16">
      <c r="A27" s="6" t="s">
        <v>60</v>
      </c>
      <c r="B27" s="6" t="s">
        <v>61</v>
      </c>
      <c r="C27" s="7">
        <v>44103</v>
      </c>
      <c r="D27" s="6">
        <v>750</v>
      </c>
      <c r="E27" s="21">
        <v>1.175</v>
      </c>
      <c r="F27" s="19">
        <v>5.03</v>
      </c>
      <c r="G27" s="13">
        <f t="shared" si="0"/>
        <v>3210.6382978723404</v>
      </c>
      <c r="H27" s="12">
        <v>5</v>
      </c>
      <c r="I27" s="12">
        <f>[1]Dividend!P12</f>
        <v>0.06</v>
      </c>
      <c r="J27" s="21">
        <f>J64</f>
        <v>1.1718999999999999</v>
      </c>
      <c r="K27" s="13">
        <f t="shared" si="1"/>
        <v>3238.3309156071332</v>
      </c>
      <c r="L27" s="15">
        <f>(K27-G27)/G27</f>
        <v>8.6252686118970124E-3</v>
      </c>
      <c r="M27" s="16">
        <f t="shared" si="3"/>
        <v>27.692617734792748</v>
      </c>
      <c r="N27" s="9">
        <v>5.23</v>
      </c>
      <c r="O27" s="14">
        <f>(N27+I27)*0.75</f>
        <v>3.9675000000000002</v>
      </c>
      <c r="P27" s="22">
        <f t="shared" si="4"/>
        <v>-1.0625</v>
      </c>
    </row>
    <row r="28" spans="1:16">
      <c r="A28" s="6" t="s">
        <v>62</v>
      </c>
      <c r="B28" s="6" t="s">
        <v>63</v>
      </c>
      <c r="C28" s="7">
        <v>43360</v>
      </c>
      <c r="D28" s="6">
        <v>100</v>
      </c>
      <c r="E28" s="21">
        <v>1.52</v>
      </c>
      <c r="F28" s="19">
        <v>30.8</v>
      </c>
      <c r="G28" s="13">
        <f t="shared" si="0"/>
        <v>2026.3157894736842</v>
      </c>
      <c r="H28" s="6">
        <v>44.92</v>
      </c>
      <c r="I28" s="12">
        <f>[1]Dividend!P6</f>
        <v>2.4039999999999999</v>
      </c>
      <c r="J28" s="21">
        <f>J65</f>
        <v>1.55</v>
      </c>
      <c r="K28" s="13">
        <f t="shared" si="1"/>
        <v>3053.16129032258</v>
      </c>
      <c r="L28" s="15">
        <f t="shared" si="2"/>
        <v>0.50675492249685772</v>
      </c>
      <c r="M28" s="16">
        <f t="shared" si="3"/>
        <v>1026.8455008488959</v>
      </c>
      <c r="N28" s="9">
        <v>55.99</v>
      </c>
      <c r="O28" s="14">
        <f>(N28+I28)*0.75</f>
        <v>43.795500000000004</v>
      </c>
      <c r="P28" s="18">
        <f t="shared" si="4"/>
        <v>12.995500000000003</v>
      </c>
    </row>
    <row r="29" spans="1:16">
      <c r="A29" s="2" t="s">
        <v>64</v>
      </c>
      <c r="B29" s="6"/>
      <c r="C29" s="7"/>
      <c r="D29" s="6"/>
      <c r="E29" s="21"/>
      <c r="F29" s="19"/>
      <c r="G29" s="24"/>
      <c r="H29" s="25"/>
      <c r="I29" s="6"/>
      <c r="J29" s="6"/>
      <c r="K29" s="10"/>
      <c r="L29" s="15"/>
      <c r="M29" s="16"/>
      <c r="N29" s="9"/>
      <c r="O29" s="14"/>
      <c r="P29" s="20"/>
    </row>
    <row r="30" spans="1:16">
      <c r="A30" s="6" t="s">
        <v>65</v>
      </c>
      <c r="B30" s="6" t="s">
        <v>66</v>
      </c>
      <c r="C30" s="7">
        <v>43102</v>
      </c>
      <c r="D30" s="6">
        <v>550</v>
      </c>
      <c r="E30" s="21">
        <v>1.51</v>
      </c>
      <c r="F30" s="19">
        <v>2.1800000000000002</v>
      </c>
      <c r="G30" s="13">
        <f t="shared" si="0"/>
        <v>794.03973509933769</v>
      </c>
      <c r="H30" s="25">
        <v>2.2000000000000002</v>
      </c>
      <c r="I30" s="6">
        <v>0</v>
      </c>
      <c r="J30" s="21">
        <f>J65</f>
        <v>1.55</v>
      </c>
      <c r="K30" s="13">
        <f t="shared" si="1"/>
        <v>780.64516129032268</v>
      </c>
      <c r="L30" s="15">
        <f t="shared" si="2"/>
        <v>-1.6868896123113156E-2</v>
      </c>
      <c r="M30" s="16">
        <f t="shared" si="3"/>
        <v>-13.394573809015014</v>
      </c>
      <c r="N30" s="9">
        <v>3.14</v>
      </c>
      <c r="O30" s="14">
        <f>(N30+I30)*0.33</f>
        <v>1.0362</v>
      </c>
      <c r="P30" s="22">
        <f t="shared" si="4"/>
        <v>-1.1438000000000001</v>
      </c>
    </row>
    <row r="31" spans="1:16">
      <c r="A31" s="6" t="s">
        <v>67</v>
      </c>
      <c r="B31" s="6" t="s">
        <v>68</v>
      </c>
      <c r="C31" s="7">
        <v>43374</v>
      </c>
      <c r="D31" s="6">
        <v>1400</v>
      </c>
      <c r="E31" s="21">
        <v>1.1499999999999999</v>
      </c>
      <c r="F31" s="19">
        <v>0.66</v>
      </c>
      <c r="G31" s="13">
        <f t="shared" si="0"/>
        <v>803.47826086956525</v>
      </c>
      <c r="H31" s="25">
        <v>0.4647</v>
      </c>
      <c r="I31" s="6">
        <v>0</v>
      </c>
      <c r="J31" s="6">
        <f>J64</f>
        <v>1.1718999999999999</v>
      </c>
      <c r="K31" s="13">
        <f t="shared" si="1"/>
        <v>555.14975680518819</v>
      </c>
      <c r="L31" s="15">
        <f t="shared" si="2"/>
        <v>-0.30906686111908399</v>
      </c>
      <c r="M31" s="16">
        <f t="shared" si="3"/>
        <v>-248.32850406437706</v>
      </c>
      <c r="N31" s="9">
        <v>0.94</v>
      </c>
      <c r="O31" s="14">
        <f>(N31+I31)*0.33</f>
        <v>0.31019999999999998</v>
      </c>
      <c r="P31" s="22">
        <f t="shared" si="4"/>
        <v>-0.34980000000000006</v>
      </c>
    </row>
    <row r="32" spans="1:16">
      <c r="A32" s="6" t="s">
        <v>69</v>
      </c>
      <c r="B32" s="6" t="s">
        <v>70</v>
      </c>
      <c r="C32" s="7">
        <v>43822</v>
      </c>
      <c r="D32" s="6">
        <v>380</v>
      </c>
      <c r="E32" s="21">
        <v>1.51</v>
      </c>
      <c r="F32" s="19">
        <v>1.18</v>
      </c>
      <c r="G32" s="13">
        <f t="shared" si="0"/>
        <v>296.95364238410593</v>
      </c>
      <c r="H32" s="25">
        <v>1.1000000000000001</v>
      </c>
      <c r="I32" s="6">
        <v>0</v>
      </c>
      <c r="J32" s="21">
        <f>J65</f>
        <v>1.55</v>
      </c>
      <c r="K32" s="13">
        <f>((H32+I32)/J32)*D32</f>
        <v>269.67741935483872</v>
      </c>
      <c r="L32" s="15">
        <f t="shared" si="2"/>
        <v>-9.1853471842536796E-2</v>
      </c>
      <c r="M32" s="16">
        <f t="shared" si="3"/>
        <v>-27.276223029267214</v>
      </c>
      <c r="N32" s="9">
        <v>1.28</v>
      </c>
      <c r="O32" s="14">
        <f>(N32+I32)*0.5</f>
        <v>0.64</v>
      </c>
      <c r="P32" s="22">
        <f t="shared" si="4"/>
        <v>-0.53999999999999992</v>
      </c>
    </row>
    <row r="33" spans="1:16">
      <c r="A33" s="2" t="s">
        <v>71</v>
      </c>
      <c r="B33" s="6"/>
      <c r="C33" s="7"/>
      <c r="D33" s="6"/>
      <c r="E33" s="21"/>
      <c r="F33" s="6"/>
      <c r="G33" s="13"/>
      <c r="H33" s="9"/>
      <c r="I33" s="6"/>
      <c r="J33" s="6"/>
      <c r="K33" s="13"/>
      <c r="L33" s="15"/>
      <c r="M33" s="16">
        <f t="shared" si="3"/>
        <v>0</v>
      </c>
      <c r="N33" s="9"/>
      <c r="O33" s="14"/>
      <c r="P33" s="20">
        <f t="shared" si="4"/>
        <v>0</v>
      </c>
    </row>
    <row r="34" spans="1:16">
      <c r="A34" s="6" t="s">
        <v>72</v>
      </c>
      <c r="B34" s="6" t="s">
        <v>73</v>
      </c>
      <c r="C34" s="7">
        <v>43384</v>
      </c>
      <c r="D34" s="6">
        <v>40</v>
      </c>
      <c r="E34" s="21">
        <v>1.5</v>
      </c>
      <c r="F34" s="6">
        <v>5.96</v>
      </c>
      <c r="G34" s="13">
        <f t="shared" si="0"/>
        <v>158.93333333333334</v>
      </c>
      <c r="H34" s="17">
        <v>7.76</v>
      </c>
      <c r="I34" s="12">
        <f>[1]Dividend!P13</f>
        <v>0.12</v>
      </c>
      <c r="J34" s="21">
        <f>J65</f>
        <v>1.55</v>
      </c>
      <c r="K34" s="13">
        <f t="shared" si="1"/>
        <v>203.35483870967744</v>
      </c>
      <c r="L34" s="15">
        <f t="shared" si="2"/>
        <v>0.27949772678068857</v>
      </c>
      <c r="M34" s="16">
        <f t="shared" si="3"/>
        <v>44.421505376344101</v>
      </c>
      <c r="N34" s="9">
        <v>8.51</v>
      </c>
      <c r="O34" s="14">
        <f>(N34+I34)*0.33</f>
        <v>2.8478999999999997</v>
      </c>
      <c r="P34" s="22">
        <f t="shared" si="4"/>
        <v>-3.1121000000000003</v>
      </c>
    </row>
    <row r="35" spans="1:16">
      <c r="A35" s="6" t="s">
        <v>74</v>
      </c>
      <c r="B35" s="6" t="s">
        <v>75</v>
      </c>
      <c r="C35" s="7">
        <v>43657</v>
      </c>
      <c r="D35" s="6">
        <v>26</v>
      </c>
      <c r="E35" s="21">
        <v>1.1299999999999999</v>
      </c>
      <c r="F35" s="6">
        <v>23.2</v>
      </c>
      <c r="G35" s="13">
        <f t="shared" si="0"/>
        <v>533.80530973451323</v>
      </c>
      <c r="H35" s="17">
        <v>25.3</v>
      </c>
      <c r="I35" s="12">
        <f>[1]Dividend!P9</f>
        <v>3.07</v>
      </c>
      <c r="J35" s="6">
        <f>J64</f>
        <v>1.1718999999999999</v>
      </c>
      <c r="K35" s="13">
        <f t="shared" si="1"/>
        <v>629.42230565747934</v>
      </c>
      <c r="L35" s="15">
        <f t="shared" si="2"/>
        <v>0.17912335111563613</v>
      </c>
      <c r="M35" s="16">
        <f t="shared" si="3"/>
        <v>95.616995922966112</v>
      </c>
      <c r="N35" s="9">
        <v>35.36</v>
      </c>
      <c r="O35" s="14">
        <f>(N35+I35)*0.5</f>
        <v>19.215</v>
      </c>
      <c r="P35" s="22">
        <f>O35-F35</f>
        <v>-3.9849999999999994</v>
      </c>
    </row>
    <row r="36" spans="1:16">
      <c r="A36" s="6" t="s">
        <v>76</v>
      </c>
      <c r="B36" s="6" t="s">
        <v>77</v>
      </c>
      <c r="C36" s="7">
        <v>44083</v>
      </c>
      <c r="D36" s="6">
        <v>2500</v>
      </c>
      <c r="E36" s="21">
        <v>1.55</v>
      </c>
      <c r="F36" s="6">
        <v>0.24</v>
      </c>
      <c r="G36" s="13">
        <f t="shared" si="0"/>
        <v>387.09677419354836</v>
      </c>
      <c r="H36" s="17">
        <v>0.2</v>
      </c>
      <c r="I36" s="12">
        <v>0</v>
      </c>
      <c r="J36" s="21">
        <f>J65</f>
        <v>1.55</v>
      </c>
      <c r="K36" s="13">
        <f t="shared" si="1"/>
        <v>322.58064516129031</v>
      </c>
      <c r="L36" s="15">
        <f t="shared" si="2"/>
        <v>-0.16666666666666663</v>
      </c>
      <c r="M36" s="16">
        <f t="shared" si="3"/>
        <v>-64.51612903225805</v>
      </c>
      <c r="N36" s="9">
        <v>36.36</v>
      </c>
      <c r="O36" s="14">
        <f>(N36+I36)*0.5</f>
        <v>18.18</v>
      </c>
      <c r="P36" s="22">
        <f>O36-F36</f>
        <v>17.940000000000001</v>
      </c>
    </row>
    <row r="37" spans="1:16">
      <c r="A37" s="2" t="s">
        <v>78</v>
      </c>
      <c r="B37" s="6"/>
      <c r="C37" s="7"/>
      <c r="D37" s="6"/>
      <c r="E37" s="21"/>
      <c r="F37" s="6"/>
      <c r="G37" s="13"/>
      <c r="H37" s="17"/>
      <c r="I37" s="6"/>
      <c r="J37" s="6"/>
      <c r="K37" s="13"/>
      <c r="L37" s="15"/>
      <c r="M37" s="16"/>
      <c r="N37" s="9"/>
      <c r="O37" s="14">
        <f t="shared" ref="O37:O39" si="8">(N37+I37)*0.33</f>
        <v>0</v>
      </c>
      <c r="P37" s="20">
        <f t="shared" si="4"/>
        <v>0</v>
      </c>
    </row>
    <row r="38" spans="1:16">
      <c r="A38" s="6" t="s">
        <v>79</v>
      </c>
      <c r="B38" s="6" t="s">
        <v>80</v>
      </c>
      <c r="C38" s="7">
        <v>43874</v>
      </c>
      <c r="D38" s="6">
        <v>600</v>
      </c>
      <c r="E38" s="21">
        <v>1.44</v>
      </c>
      <c r="F38" s="6">
        <v>0.37</v>
      </c>
      <c r="G38" s="13">
        <f t="shared" si="0"/>
        <v>154.16666666666669</v>
      </c>
      <c r="H38" s="17">
        <v>0.52</v>
      </c>
      <c r="I38" s="6">
        <v>0</v>
      </c>
      <c r="J38" s="21">
        <f>J65</f>
        <v>1.55</v>
      </c>
      <c r="K38" s="13">
        <f t="shared" si="1"/>
        <v>201.29032258064518</v>
      </c>
      <c r="L38" s="15">
        <f t="shared" si="2"/>
        <v>0.30566695727986049</v>
      </c>
      <c r="M38" s="16">
        <f t="shared" si="3"/>
        <v>47.123655913978496</v>
      </c>
      <c r="N38" s="17">
        <v>0.62</v>
      </c>
      <c r="O38" s="14">
        <f>(N38+I38)*0.33</f>
        <v>0.2046</v>
      </c>
      <c r="P38" s="22">
        <f t="shared" si="4"/>
        <v>-0.16539999999999999</v>
      </c>
    </row>
    <row r="39" spans="1:16">
      <c r="A39" s="6" t="s">
        <v>81</v>
      </c>
      <c r="B39" s="6" t="s">
        <v>82</v>
      </c>
      <c r="C39" s="7">
        <v>43854</v>
      </c>
      <c r="D39" s="6">
        <v>100</v>
      </c>
      <c r="E39" s="21">
        <v>1.46</v>
      </c>
      <c r="F39" s="6">
        <v>3.71</v>
      </c>
      <c r="G39" s="13">
        <f t="shared" si="0"/>
        <v>254.10958904109589</v>
      </c>
      <c r="H39" s="17">
        <v>4.78</v>
      </c>
      <c r="I39" s="6">
        <v>0</v>
      </c>
      <c r="J39" s="21">
        <f>J65</f>
        <v>1.55</v>
      </c>
      <c r="K39" s="13">
        <f t="shared" si="1"/>
        <v>308.38709677419354</v>
      </c>
      <c r="L39" s="15">
        <f t="shared" si="2"/>
        <v>0.21359881749413093</v>
      </c>
      <c r="M39" s="16">
        <f t="shared" si="3"/>
        <v>54.27750773309765</v>
      </c>
      <c r="N39" s="9">
        <v>5.86</v>
      </c>
      <c r="O39" s="14">
        <f t="shared" si="8"/>
        <v>1.9338000000000002</v>
      </c>
      <c r="P39" s="22">
        <f t="shared" si="4"/>
        <v>-1.7761999999999998</v>
      </c>
    </row>
    <row r="40" spans="1:16">
      <c r="A40" s="2" t="s">
        <v>83</v>
      </c>
      <c r="B40" s="6"/>
      <c r="C40" s="7"/>
      <c r="D40" s="6"/>
      <c r="E40" s="21"/>
      <c r="F40" s="6"/>
      <c r="G40" s="13"/>
      <c r="H40" s="17"/>
      <c r="I40" s="6"/>
      <c r="J40" s="21"/>
      <c r="K40" s="13"/>
      <c r="L40" s="15"/>
      <c r="M40" s="16"/>
      <c r="N40" s="9"/>
      <c r="O40" s="14"/>
      <c r="P40" s="22"/>
    </row>
    <row r="41" spans="1:16">
      <c r="A41" s="6" t="s">
        <v>84</v>
      </c>
      <c r="B41" s="6"/>
      <c r="C41" s="7">
        <v>44018</v>
      </c>
      <c r="D41" s="6">
        <v>0.125</v>
      </c>
      <c r="E41" s="21">
        <v>1</v>
      </c>
      <c r="F41" s="6">
        <v>8050</v>
      </c>
      <c r="G41" s="13">
        <f t="shared" si="0"/>
        <v>1006.25</v>
      </c>
      <c r="H41" s="9">
        <v>9699.26</v>
      </c>
      <c r="I41" s="6">
        <v>0</v>
      </c>
      <c r="J41" s="21">
        <v>1</v>
      </c>
      <c r="K41" s="13">
        <f t="shared" si="1"/>
        <v>1212.4075</v>
      </c>
      <c r="L41" s="15">
        <f t="shared" si="2"/>
        <v>0.20487701863354041</v>
      </c>
      <c r="M41" s="16">
        <f t="shared" si="3"/>
        <v>206.15750000000003</v>
      </c>
      <c r="N41" s="9"/>
      <c r="O41" s="14"/>
      <c r="P41" s="22"/>
    </row>
    <row r="42" spans="1:16">
      <c r="A42" s="6" t="s">
        <v>85</v>
      </c>
      <c r="B42" s="6"/>
      <c r="C42" s="7">
        <v>44024</v>
      </c>
      <c r="D42" s="6">
        <v>5</v>
      </c>
      <c r="E42" s="21">
        <v>1</v>
      </c>
      <c r="F42" s="6">
        <v>212</v>
      </c>
      <c r="G42" s="13">
        <f t="shared" si="0"/>
        <v>1060</v>
      </c>
      <c r="H42" s="17">
        <v>314.24</v>
      </c>
      <c r="I42" s="6">
        <v>0</v>
      </c>
      <c r="J42" s="21">
        <v>1</v>
      </c>
      <c r="K42" s="13">
        <f t="shared" si="1"/>
        <v>1571.2</v>
      </c>
      <c r="L42" s="15">
        <f t="shared" si="2"/>
        <v>0.48226415094339625</v>
      </c>
      <c r="M42" s="16">
        <f t="shared" si="3"/>
        <v>511.20000000000005</v>
      </c>
      <c r="N42" s="9"/>
      <c r="O42" s="14"/>
      <c r="P42" s="22"/>
    </row>
    <row r="43" spans="1:16">
      <c r="A43" s="2" t="s">
        <v>86</v>
      </c>
      <c r="B43" s="6"/>
      <c r="C43" s="7"/>
      <c r="D43" s="6"/>
      <c r="E43" s="6"/>
      <c r="F43" s="6"/>
      <c r="G43" s="13"/>
      <c r="H43" s="9"/>
      <c r="I43" s="6"/>
      <c r="J43" s="6"/>
      <c r="K43" s="13"/>
      <c r="L43" s="15"/>
      <c r="M43" s="16"/>
      <c r="N43" s="9"/>
      <c r="O43" s="14"/>
      <c r="P43" s="8"/>
    </row>
    <row r="44" spans="1:16">
      <c r="A44" s="6" t="s">
        <v>87</v>
      </c>
      <c r="B44" s="6" t="s">
        <v>88</v>
      </c>
      <c r="C44" s="7">
        <v>43388</v>
      </c>
      <c r="D44" s="6">
        <v>7</v>
      </c>
      <c r="E44" s="21">
        <v>1.5</v>
      </c>
      <c r="F44" s="12">
        <v>60.6</v>
      </c>
      <c r="G44" s="13">
        <f t="shared" si="0"/>
        <v>282.8</v>
      </c>
      <c r="H44" s="17">
        <v>23.47</v>
      </c>
      <c r="I44" s="6">
        <v>0</v>
      </c>
      <c r="J44" s="21">
        <f>J65</f>
        <v>1.55</v>
      </c>
      <c r="K44" s="13">
        <f t="shared" si="1"/>
        <v>105.99354838709677</v>
      </c>
      <c r="L44" s="15">
        <f t="shared" ref="L44:L50" si="9">(K44-G44)/G44+1</f>
        <v>0.3748003832641329</v>
      </c>
      <c r="M44" s="16"/>
      <c r="N44" s="9"/>
      <c r="O44" s="14"/>
      <c r="P44" s="26" t="s">
        <v>86</v>
      </c>
    </row>
    <row r="45" spans="1:16">
      <c r="A45" s="6" t="s">
        <v>89</v>
      </c>
      <c r="B45" s="6" t="s">
        <v>90</v>
      </c>
      <c r="C45" s="7">
        <v>43521</v>
      </c>
      <c r="D45" s="6">
        <v>10</v>
      </c>
      <c r="E45" s="21">
        <v>1.1399999999999999</v>
      </c>
      <c r="F45" s="19">
        <v>64.64</v>
      </c>
      <c r="G45" s="13">
        <f t="shared" si="0"/>
        <v>567.01754385964909</v>
      </c>
      <c r="H45" s="25">
        <v>129.51</v>
      </c>
      <c r="I45" s="12">
        <f>[1]Dividend!P5</f>
        <v>7.01</v>
      </c>
      <c r="J45" s="6">
        <f>J64</f>
        <v>1.1718999999999999</v>
      </c>
      <c r="K45" s="13">
        <f t="shared" si="1"/>
        <v>1164.9458144892908</v>
      </c>
      <c r="L45" s="15">
        <f t="shared" si="9"/>
        <v>2.0545145861970786</v>
      </c>
      <c r="M45" s="16"/>
      <c r="N45" s="9"/>
      <c r="O45" s="14"/>
      <c r="P45" s="26" t="s">
        <v>86</v>
      </c>
    </row>
    <row r="46" spans="1:16">
      <c r="A46" s="6" t="s">
        <v>84</v>
      </c>
      <c r="B46" s="6"/>
      <c r="C46" s="7">
        <v>43350</v>
      </c>
      <c r="D46" s="6">
        <v>0.25</v>
      </c>
      <c r="E46" s="21">
        <v>1</v>
      </c>
      <c r="F46" s="6">
        <v>8570.56</v>
      </c>
      <c r="G46" s="13">
        <f t="shared" si="0"/>
        <v>2142.64</v>
      </c>
      <c r="H46" s="9">
        <v>9699.26</v>
      </c>
      <c r="I46" s="6">
        <v>0</v>
      </c>
      <c r="J46" s="21">
        <v>1</v>
      </c>
      <c r="K46" s="13">
        <f t="shared" si="1"/>
        <v>2424.8150000000001</v>
      </c>
      <c r="L46" s="15">
        <f>(K46-G46)/G46+1</f>
        <v>1.1316950117611919</v>
      </c>
      <c r="M46" s="16"/>
      <c r="N46" s="9"/>
      <c r="O46" s="14"/>
      <c r="P46" s="26" t="s">
        <v>86</v>
      </c>
    </row>
    <row r="47" spans="1:16">
      <c r="A47" s="6" t="s">
        <v>91</v>
      </c>
      <c r="B47" s="6" t="s">
        <v>92</v>
      </c>
      <c r="C47" s="7">
        <v>43140</v>
      </c>
      <c r="D47" s="6">
        <v>20</v>
      </c>
      <c r="E47" s="21">
        <v>1.24</v>
      </c>
      <c r="F47" s="19">
        <v>13.5</v>
      </c>
      <c r="G47" s="13">
        <f t="shared" si="0"/>
        <v>217.74193548387098</v>
      </c>
      <c r="H47" s="25">
        <v>12.39</v>
      </c>
      <c r="I47" s="6">
        <v>0</v>
      </c>
      <c r="J47" s="6">
        <f>J64</f>
        <v>1.1718999999999999</v>
      </c>
      <c r="K47" s="13">
        <f t="shared" si="1"/>
        <v>211.45148903490059</v>
      </c>
      <c r="L47" s="15">
        <f t="shared" si="9"/>
        <v>0.97111054223435822</v>
      </c>
      <c r="M47" s="16"/>
      <c r="N47" s="9"/>
      <c r="O47" s="14"/>
      <c r="P47" s="26" t="s">
        <v>86</v>
      </c>
    </row>
    <row r="48" spans="1:16">
      <c r="A48" s="27" t="s">
        <v>93</v>
      </c>
      <c r="B48" s="27" t="s">
        <v>94</v>
      </c>
      <c r="C48" s="28">
        <v>43558</v>
      </c>
      <c r="D48" s="6">
        <v>60</v>
      </c>
      <c r="E48" s="21">
        <v>1.5</v>
      </c>
      <c r="F48" s="29">
        <v>4.9800000000000004</v>
      </c>
      <c r="G48" s="13">
        <f t="shared" si="0"/>
        <v>199.20000000000002</v>
      </c>
      <c r="H48" s="30">
        <v>6.4</v>
      </c>
      <c r="I48" s="6">
        <v>0</v>
      </c>
      <c r="J48" s="21">
        <f>J65</f>
        <v>1.55</v>
      </c>
      <c r="K48" s="13">
        <f t="shared" si="1"/>
        <v>247.74193548387098</v>
      </c>
      <c r="L48" s="15">
        <f t="shared" si="9"/>
        <v>1.2436844150796735</v>
      </c>
      <c r="M48" s="16"/>
      <c r="N48" s="9"/>
      <c r="O48" s="14"/>
      <c r="P48" s="26" t="s">
        <v>86</v>
      </c>
    </row>
    <row r="49" spans="1:16">
      <c r="A49" s="27" t="s">
        <v>29</v>
      </c>
      <c r="B49" s="27" t="s">
        <v>30</v>
      </c>
      <c r="C49" s="28">
        <v>43187</v>
      </c>
      <c r="D49" s="6">
        <v>22</v>
      </c>
      <c r="E49" s="21">
        <v>1.24</v>
      </c>
      <c r="F49" s="29">
        <v>12.22</v>
      </c>
      <c r="G49" s="13">
        <f t="shared" si="0"/>
        <v>216.80645161290326</v>
      </c>
      <c r="H49" s="30">
        <v>10.56</v>
      </c>
      <c r="I49" s="6">
        <v>0</v>
      </c>
      <c r="J49" s="6">
        <f>J64</f>
        <v>1.1718999999999999</v>
      </c>
      <c r="K49" s="13">
        <f t="shared" si="1"/>
        <v>198.2421708336889</v>
      </c>
      <c r="L49" s="15">
        <f t="shared" si="9"/>
        <v>0.91437394671095895</v>
      </c>
      <c r="M49" s="16"/>
      <c r="N49" s="9"/>
      <c r="O49" s="14"/>
      <c r="P49" s="26" t="s">
        <v>86</v>
      </c>
    </row>
    <row r="50" spans="1:16">
      <c r="A50" s="6" t="s">
        <v>95</v>
      </c>
      <c r="B50" s="6" t="s">
        <v>96</v>
      </c>
      <c r="C50" s="7">
        <v>43683</v>
      </c>
      <c r="D50" s="6">
        <v>400</v>
      </c>
      <c r="E50" s="21">
        <v>1.49</v>
      </c>
      <c r="F50" s="31">
        <v>0.8</v>
      </c>
      <c r="G50" s="13">
        <f t="shared" si="0"/>
        <v>214.76510067114094</v>
      </c>
      <c r="H50" s="32">
        <v>1.27</v>
      </c>
      <c r="I50" s="6">
        <v>0</v>
      </c>
      <c r="J50" s="21">
        <f>J65</f>
        <v>1.55</v>
      </c>
      <c r="K50" s="13">
        <f t="shared" si="1"/>
        <v>327.74193548387098</v>
      </c>
      <c r="L50" s="15">
        <f t="shared" si="9"/>
        <v>1.5260483870967743</v>
      </c>
      <c r="M50" s="16"/>
      <c r="N50" s="9"/>
      <c r="O50" s="14"/>
      <c r="P50" s="26" t="s">
        <v>86</v>
      </c>
    </row>
    <row r="51" spans="1:16">
      <c r="A51" s="6" t="s">
        <v>97</v>
      </c>
      <c r="B51" s="6" t="s">
        <v>98</v>
      </c>
      <c r="C51" s="7">
        <v>43102</v>
      </c>
      <c r="D51" s="10">
        <v>8</v>
      </c>
      <c r="E51" s="11">
        <v>1.24</v>
      </c>
      <c r="F51" s="12">
        <v>150</v>
      </c>
      <c r="G51" s="13">
        <f>(F51*D51)/E51</f>
        <v>967.74193548387098</v>
      </c>
      <c r="H51" s="12">
        <v>139.81</v>
      </c>
      <c r="I51" s="14">
        <f>[1]Dividend!P3</f>
        <v>2.71</v>
      </c>
      <c r="J51" s="11">
        <f>J64</f>
        <v>1.1718999999999999</v>
      </c>
      <c r="K51" s="33">
        <f>((H51+I51)/J51)*D51</f>
        <v>972.91577779674049</v>
      </c>
      <c r="L51" s="15">
        <f>(K51-G51)/G51+1</f>
        <v>1.0053463037232986</v>
      </c>
      <c r="M51" s="16"/>
      <c r="N51" s="17"/>
      <c r="O51" s="14"/>
      <c r="P51" s="26" t="s">
        <v>86</v>
      </c>
    </row>
    <row r="52" spans="1:16">
      <c r="A52" s="6" t="s">
        <v>99</v>
      </c>
      <c r="B52" s="6" t="s">
        <v>100</v>
      </c>
      <c r="C52" s="7">
        <v>43102</v>
      </c>
      <c r="D52" s="10">
        <v>50</v>
      </c>
      <c r="E52" s="11">
        <v>1.24</v>
      </c>
      <c r="F52" s="6">
        <v>5.03</v>
      </c>
      <c r="G52" s="13">
        <f t="shared" ref="G52:G53" si="10">(F52*D52)/E52</f>
        <v>202.82258064516128</v>
      </c>
      <c r="H52" s="12">
        <v>8.42</v>
      </c>
      <c r="I52" s="14">
        <v>0</v>
      </c>
      <c r="J52" s="11">
        <f>J64</f>
        <v>1.1718999999999999</v>
      </c>
      <c r="K52" s="34">
        <f>((H52+I52)/J52)*D52</f>
        <v>359.24566942571892</v>
      </c>
      <c r="L52" s="15">
        <f t="shared" ref="L52" si="11">(K52-G52)/G52</f>
        <v>0.77123113355026429</v>
      </c>
      <c r="M52" s="16"/>
      <c r="N52" s="17"/>
      <c r="O52" s="14"/>
      <c r="P52" s="26" t="s">
        <v>86</v>
      </c>
    </row>
    <row r="53" spans="1:16">
      <c r="A53" s="6" t="s">
        <v>101</v>
      </c>
      <c r="B53" s="6" t="s">
        <v>102</v>
      </c>
      <c r="C53" s="7">
        <v>43683</v>
      </c>
      <c r="D53" s="10">
        <v>33</v>
      </c>
      <c r="E53" s="11">
        <v>1.49</v>
      </c>
      <c r="F53" s="6">
        <v>4.6399999999999997</v>
      </c>
      <c r="G53" s="13">
        <f t="shared" si="10"/>
        <v>102.76510067114093</v>
      </c>
      <c r="H53" s="12">
        <v>10.94</v>
      </c>
      <c r="I53" s="14">
        <f>[1]Dividend!P8</f>
        <v>4.5000000000000005E-2</v>
      </c>
      <c r="J53" s="11">
        <f>J65</f>
        <v>1.55</v>
      </c>
      <c r="K53" s="34">
        <f>((H53+I53)/J53)*D53</f>
        <v>233.8741935483871</v>
      </c>
      <c r="L53" s="15">
        <f>(K53-G53)/G53</f>
        <v>1.2758134037819802</v>
      </c>
      <c r="M53" s="16"/>
      <c r="N53" s="17"/>
      <c r="O53" s="14"/>
      <c r="P53" s="26" t="s">
        <v>86</v>
      </c>
    </row>
    <row r="54" spans="1:16">
      <c r="A54" s="2" t="s">
        <v>103</v>
      </c>
      <c r="B54" s="6"/>
      <c r="C54" s="7"/>
      <c r="D54" s="6"/>
      <c r="E54" s="6"/>
      <c r="F54" s="31"/>
      <c r="G54" s="6"/>
      <c r="H54" s="32"/>
      <c r="I54" s="6"/>
      <c r="J54" s="6"/>
      <c r="K54" s="13"/>
      <c r="L54" s="6"/>
      <c r="M54" s="8"/>
      <c r="N54" s="9"/>
      <c r="O54" s="6"/>
      <c r="P54" s="8"/>
    </row>
    <row r="55" spans="1:16">
      <c r="A55" s="2" t="s">
        <v>104</v>
      </c>
      <c r="B55" s="6" t="s">
        <v>105</v>
      </c>
      <c r="C55" s="7">
        <v>44083</v>
      </c>
      <c r="D55" s="6"/>
      <c r="E55" s="6"/>
      <c r="F55" s="31"/>
      <c r="G55" s="6"/>
      <c r="H55" s="32"/>
      <c r="I55" s="6"/>
      <c r="J55" s="6"/>
      <c r="K55" s="13">
        <v>-780</v>
      </c>
      <c r="L55" s="6"/>
      <c r="M55" s="8"/>
      <c r="N55" s="9"/>
      <c r="O55" s="6"/>
      <c r="P55" s="8"/>
    </row>
    <row r="56" spans="1:16">
      <c r="A56" s="6" t="s">
        <v>106</v>
      </c>
      <c r="B56" s="6" t="s">
        <v>107</v>
      </c>
      <c r="C56" s="7">
        <v>43850</v>
      </c>
      <c r="D56" s="6"/>
      <c r="E56" s="6"/>
      <c r="F56" s="31"/>
      <c r="G56" s="6"/>
      <c r="H56" s="32"/>
      <c r="I56" s="6"/>
      <c r="J56" s="6"/>
      <c r="K56" s="13">
        <v>-103</v>
      </c>
      <c r="L56" s="6"/>
      <c r="M56" s="8"/>
      <c r="N56" s="9"/>
      <c r="O56" s="6"/>
      <c r="P56" s="8"/>
    </row>
    <row r="57" spans="1:16">
      <c r="A57" s="6" t="s">
        <v>108</v>
      </c>
      <c r="B57" s="6" t="s">
        <v>109</v>
      </c>
      <c r="C57" s="7">
        <v>43326</v>
      </c>
      <c r="D57" s="6"/>
      <c r="E57" s="21"/>
      <c r="F57" s="19"/>
      <c r="G57" s="13"/>
      <c r="H57" s="17"/>
      <c r="I57" s="6"/>
      <c r="J57" s="21"/>
      <c r="K57" s="13">
        <v>-645</v>
      </c>
      <c r="L57" s="15"/>
      <c r="M57" s="16"/>
      <c r="N57" s="9"/>
      <c r="O57" s="6"/>
      <c r="P57" s="8"/>
    </row>
    <row r="58" spans="1:16">
      <c r="A58" s="6" t="s">
        <v>110</v>
      </c>
      <c r="B58" s="6" t="s">
        <v>111</v>
      </c>
      <c r="C58" s="7">
        <v>44042</v>
      </c>
      <c r="D58" s="6"/>
      <c r="E58" s="6"/>
      <c r="F58" s="31"/>
      <c r="G58" s="6"/>
      <c r="H58" s="32"/>
      <c r="I58" s="6"/>
      <c r="J58" s="6"/>
      <c r="K58" s="13">
        <v>342</v>
      </c>
      <c r="L58" s="6"/>
      <c r="M58" s="8"/>
      <c r="N58" s="9"/>
      <c r="O58" s="6"/>
      <c r="P58" s="8"/>
    </row>
    <row r="59" spans="1:16">
      <c r="A59" s="6" t="s">
        <v>101</v>
      </c>
      <c r="B59" s="6" t="s">
        <v>102</v>
      </c>
      <c r="C59" s="7">
        <v>44043</v>
      </c>
      <c r="D59" s="6"/>
      <c r="E59" s="6"/>
      <c r="F59" s="31"/>
      <c r="G59" s="6"/>
      <c r="H59" s="32"/>
      <c r="I59" s="6"/>
      <c r="J59" s="6"/>
      <c r="K59" s="13">
        <v>124</v>
      </c>
      <c r="L59" s="6"/>
      <c r="M59" s="8"/>
      <c r="N59" s="9"/>
      <c r="O59" s="6"/>
      <c r="P59" s="8"/>
    </row>
    <row r="60" spans="1:16">
      <c r="A60" s="6" t="s">
        <v>112</v>
      </c>
      <c r="B60" s="6" t="s">
        <v>113</v>
      </c>
      <c r="C60" s="7">
        <v>44018</v>
      </c>
      <c r="D60" s="6"/>
      <c r="E60" s="21"/>
      <c r="F60" s="19"/>
      <c r="G60" s="13"/>
      <c r="H60" s="25"/>
      <c r="I60" s="12"/>
      <c r="J60" s="6"/>
      <c r="K60" s="13">
        <v>720</v>
      </c>
      <c r="L60" s="6"/>
      <c r="M60" s="8"/>
      <c r="N60" s="9"/>
      <c r="O60" s="6"/>
      <c r="P60" s="8"/>
    </row>
    <row r="61" spans="1:16">
      <c r="A61" s="6" t="s">
        <v>99</v>
      </c>
      <c r="B61" s="6" t="s">
        <v>100</v>
      </c>
      <c r="C61" s="7">
        <v>44009</v>
      </c>
      <c r="D61" s="6"/>
      <c r="E61" s="6"/>
      <c r="F61" s="31"/>
      <c r="G61" s="6"/>
      <c r="H61" s="32"/>
      <c r="I61" s="6"/>
      <c r="J61" s="6"/>
      <c r="K61" s="13">
        <v>417</v>
      </c>
      <c r="L61" s="6"/>
      <c r="M61" s="8"/>
      <c r="N61" s="9"/>
      <c r="O61" s="6"/>
      <c r="P61" s="8"/>
    </row>
    <row r="62" spans="1:16">
      <c r="A62" s="6" t="s">
        <v>97</v>
      </c>
      <c r="B62" s="6" t="s">
        <v>98</v>
      </c>
      <c r="C62" s="7">
        <v>43968</v>
      </c>
      <c r="D62" s="10"/>
      <c r="E62" s="11"/>
      <c r="F62" s="6"/>
      <c r="G62" s="24"/>
      <c r="H62" s="12"/>
      <c r="I62" s="14"/>
      <c r="J62" s="11"/>
      <c r="K62" s="13">
        <v>1130</v>
      </c>
      <c r="L62" s="15"/>
      <c r="M62" s="8"/>
      <c r="N62" s="17"/>
      <c r="O62" s="14"/>
      <c r="P62" s="8"/>
    </row>
    <row r="63" spans="1:16">
      <c r="A63" s="6" t="s">
        <v>114</v>
      </c>
      <c r="B63" s="6"/>
      <c r="C63" s="7">
        <v>43974</v>
      </c>
      <c r="D63" s="10"/>
      <c r="E63" s="11"/>
      <c r="F63" s="6"/>
      <c r="G63" s="24"/>
      <c r="H63" s="12"/>
      <c r="I63" s="14"/>
      <c r="J63" s="11"/>
      <c r="K63" s="13">
        <v>-1000</v>
      </c>
      <c r="L63" s="15"/>
      <c r="M63" s="8"/>
      <c r="N63" s="17"/>
      <c r="O63" s="14"/>
      <c r="P63" s="8"/>
    </row>
    <row r="64" spans="1:16">
      <c r="A64" s="6" t="s">
        <v>115</v>
      </c>
      <c r="B64" s="6" t="s">
        <v>105</v>
      </c>
      <c r="C64" s="7"/>
      <c r="D64" s="6"/>
      <c r="E64" s="6"/>
      <c r="F64" s="31"/>
      <c r="G64" s="6"/>
      <c r="H64" s="32"/>
      <c r="I64" s="6"/>
      <c r="J64" s="21">
        <v>1.1718999999999999</v>
      </c>
      <c r="K64" s="6"/>
      <c r="L64" s="6"/>
      <c r="M64" s="8"/>
      <c r="N64" s="9"/>
      <c r="O64" s="6"/>
      <c r="P64" s="8"/>
    </row>
    <row r="65" spans="1:16">
      <c r="A65" s="6" t="s">
        <v>116</v>
      </c>
      <c r="B65" s="6" t="s">
        <v>117</v>
      </c>
      <c r="C65" s="6"/>
      <c r="D65" s="6"/>
      <c r="E65" s="6"/>
      <c r="F65" s="6"/>
      <c r="G65" s="6"/>
      <c r="H65" s="6"/>
      <c r="I65" s="6"/>
      <c r="J65" s="21">
        <v>1.55</v>
      </c>
      <c r="K65" s="6"/>
      <c r="L65" s="6"/>
      <c r="M65" s="8"/>
      <c r="N65" s="9"/>
      <c r="O65" s="6"/>
      <c r="P65" s="8"/>
    </row>
    <row r="66" spans="1:16">
      <c r="A66" s="6"/>
      <c r="B66" s="6"/>
      <c r="C66" s="6"/>
      <c r="D66" s="6"/>
      <c r="E66" s="6"/>
      <c r="F66" s="6"/>
      <c r="G66" s="6"/>
      <c r="H66" s="6"/>
      <c r="I66" s="6"/>
      <c r="J66" s="21"/>
      <c r="K66" s="6"/>
      <c r="L66" s="6"/>
      <c r="M66" s="8"/>
      <c r="N66" s="9"/>
      <c r="O66" s="6"/>
      <c r="P66" s="8"/>
    </row>
    <row r="67" spans="1:16">
      <c r="A67" s="35" t="s">
        <v>118</v>
      </c>
      <c r="B67" s="35"/>
      <c r="C67" s="35"/>
      <c r="D67" s="35"/>
      <c r="E67" s="36">
        <f>SUM(G4:G53)</f>
        <v>23876.145571070847</v>
      </c>
      <c r="F67" s="6"/>
      <c r="G67" s="35" t="s">
        <v>119</v>
      </c>
      <c r="H67" s="35"/>
      <c r="I67" s="35"/>
      <c r="J67" s="35"/>
      <c r="K67" s="37">
        <f>SUM(K4:K53)</f>
        <v>29355.806126534255</v>
      </c>
      <c r="L67" s="6"/>
      <c r="M67" s="38" t="s">
        <v>120</v>
      </c>
      <c r="N67" s="39"/>
      <c r="O67" s="40"/>
      <c r="P67" s="41">
        <f>E69-E67</f>
        <v>1328.8544289291531</v>
      </c>
    </row>
    <row r="68" spans="1:16">
      <c r="A68" s="35" t="s">
        <v>121</v>
      </c>
      <c r="B68" s="35"/>
      <c r="C68" s="35"/>
      <c r="D68" s="35"/>
      <c r="E68" s="36">
        <v>25000</v>
      </c>
      <c r="F68" s="6"/>
      <c r="G68" s="38" t="s">
        <v>122</v>
      </c>
      <c r="H68" s="39"/>
      <c r="I68" s="39"/>
      <c r="J68" s="40"/>
      <c r="K68" s="42">
        <f>K67-E67</f>
        <v>5479.6605554634079</v>
      </c>
      <c r="L68" s="6"/>
      <c r="M68" s="38" t="s">
        <v>123</v>
      </c>
      <c r="N68" s="39"/>
      <c r="O68" s="40"/>
      <c r="P68" s="43">
        <f>P67/E69</f>
        <v>5.2721857922204053E-2</v>
      </c>
    </row>
    <row r="69" spans="1:16">
      <c r="A69" s="35" t="s">
        <v>124</v>
      </c>
      <c r="B69" s="35"/>
      <c r="C69" s="35"/>
      <c r="D69" s="35"/>
      <c r="E69" s="36">
        <f>E68+K69</f>
        <v>25205</v>
      </c>
      <c r="F69" s="6"/>
      <c r="G69" s="35" t="s">
        <v>125</v>
      </c>
      <c r="H69" s="35"/>
      <c r="I69" s="35"/>
      <c r="J69" s="35"/>
      <c r="K69" s="37">
        <f>SUM(K54:K63)</f>
        <v>205</v>
      </c>
      <c r="L69" s="24"/>
      <c r="M69" s="38"/>
      <c r="N69" s="39"/>
      <c r="O69" s="40"/>
      <c r="P69" s="44"/>
    </row>
    <row r="70" spans="1:16">
      <c r="A70" s="35"/>
      <c r="B70" s="35"/>
      <c r="C70" s="35"/>
      <c r="D70" s="35"/>
      <c r="E70" s="36"/>
      <c r="F70" s="6"/>
      <c r="G70" s="35" t="s">
        <v>126</v>
      </c>
      <c r="H70" s="35"/>
      <c r="I70" s="35"/>
      <c r="J70" s="35"/>
      <c r="K70" s="45">
        <f>(K68+K69)/E68</f>
        <v>0.2273864222185363</v>
      </c>
      <c r="L70" s="24"/>
      <c r="M70" s="46"/>
      <c r="N70" s="47"/>
      <c r="O70" s="48"/>
      <c r="P70" s="44"/>
    </row>
    <row r="71" spans="1:16">
      <c r="A71" s="49"/>
      <c r="B71" s="50"/>
      <c r="C71" s="50"/>
      <c r="D71" s="51"/>
      <c r="E71" s="6"/>
      <c r="F71" s="6"/>
      <c r="G71" s="49"/>
      <c r="H71" s="50"/>
      <c r="I71" s="50"/>
      <c r="J71" s="51"/>
      <c r="K71" s="6"/>
      <c r="L71" s="6"/>
      <c r="M71" s="49"/>
      <c r="N71" s="50"/>
      <c r="O71" s="51"/>
      <c r="P71" s="8"/>
    </row>
    <row r="72" spans="1:16">
      <c r="A72" s="2" t="s">
        <v>127</v>
      </c>
      <c r="B72" s="2" t="s">
        <v>2</v>
      </c>
      <c r="C72" s="2" t="s">
        <v>128</v>
      </c>
      <c r="D72" s="2" t="s">
        <v>4</v>
      </c>
      <c r="E72" s="2" t="s">
        <v>129</v>
      </c>
      <c r="F72" s="2" t="s">
        <v>130</v>
      </c>
      <c r="G72" s="2" t="s">
        <v>131</v>
      </c>
      <c r="H72" s="4" t="s">
        <v>132</v>
      </c>
      <c r="I72" s="4" t="s">
        <v>133</v>
      </c>
      <c r="J72" s="52" t="s">
        <v>134</v>
      </c>
      <c r="K72" s="38" t="s">
        <v>135</v>
      </c>
      <c r="L72" s="39"/>
      <c r="M72" s="39"/>
      <c r="N72" s="39"/>
      <c r="O72" s="39"/>
      <c r="P72" s="40"/>
    </row>
    <row r="73" spans="1:16">
      <c r="A73" s="6" t="s">
        <v>136</v>
      </c>
      <c r="B73" s="6" t="s">
        <v>137</v>
      </c>
      <c r="C73" s="7">
        <v>43975</v>
      </c>
      <c r="D73" s="6">
        <v>20</v>
      </c>
      <c r="E73" s="53">
        <v>1.0900000000000001</v>
      </c>
      <c r="F73" s="9">
        <v>35</v>
      </c>
      <c r="G73" s="24">
        <f>(F73*D73)/E73</f>
        <v>642.20183486238523</v>
      </c>
      <c r="H73" s="8" t="s">
        <v>138</v>
      </c>
      <c r="I73" s="54">
        <v>9.6000000000000002E-2</v>
      </c>
      <c r="J73" s="55" t="s">
        <v>139</v>
      </c>
      <c r="K73" s="56" t="s">
        <v>140</v>
      </c>
      <c r="L73" s="57"/>
      <c r="M73" s="57"/>
      <c r="N73" s="57"/>
      <c r="O73" s="57"/>
      <c r="P73" s="58"/>
    </row>
    <row r="74" spans="1:16">
      <c r="A74" s="6"/>
      <c r="B74" s="6"/>
      <c r="C74" s="7"/>
      <c r="D74" s="6"/>
      <c r="E74" s="53"/>
      <c r="F74" s="9"/>
      <c r="G74" s="24"/>
      <c r="H74" s="8"/>
      <c r="I74" s="6"/>
      <c r="J74" s="55"/>
      <c r="K74" s="56"/>
      <c r="L74" s="57"/>
      <c r="M74" s="57"/>
      <c r="N74" s="57"/>
      <c r="O74" s="57"/>
      <c r="P74" s="58"/>
    </row>
  </sheetData>
  <mergeCells count="18">
    <mergeCell ref="K72:P72"/>
    <mergeCell ref="K73:P73"/>
    <mergeCell ref="K74:P74"/>
    <mergeCell ref="A69:D69"/>
    <mergeCell ref="G69:J69"/>
    <mergeCell ref="M69:O69"/>
    <mergeCell ref="A70:D70"/>
    <mergeCell ref="G70:J70"/>
    <mergeCell ref="A71:D71"/>
    <mergeCell ref="G71:J71"/>
    <mergeCell ref="M71:O71"/>
    <mergeCell ref="A1:P1"/>
    <mergeCell ref="A67:D67"/>
    <mergeCell ref="G67:J67"/>
    <mergeCell ref="M67:O67"/>
    <mergeCell ref="A68:D68"/>
    <mergeCell ref="G68:J68"/>
    <mergeCell ref="M68:O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2020-10-18T07:54:42Z</dcterms:created>
  <dcterms:modified xsi:type="dcterms:W3CDTF">2020-10-18T07:55:49Z</dcterms:modified>
</cp:coreProperties>
</file>