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1579F269-C80C-6243-84E5-E6AE9DFF2632}" xr6:coauthVersionLast="45" xr6:coauthVersionMax="45" xr10:uidLastSave="{00000000-0000-0000-0000-000000000000}"/>
  <bookViews>
    <workbookView xWindow="1120" yWindow="1460" windowWidth="24140" windowHeight="13980" xr2:uid="{9E7D341B-E228-D242-B609-AB5141E3D509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6" i="1" l="1"/>
  <c r="H43" i="1"/>
  <c r="K43" i="1" s="1"/>
  <c r="L41" i="1"/>
  <c r="K41" i="1"/>
  <c r="J41" i="1"/>
  <c r="G41" i="1"/>
  <c r="J40" i="1"/>
  <c r="I40" i="1"/>
  <c r="K40" i="1" s="1"/>
  <c r="L40" i="1" s="1"/>
  <c r="G40" i="1"/>
  <c r="J39" i="1"/>
  <c r="K39" i="1" s="1"/>
  <c r="L39" i="1" s="1"/>
  <c r="G39" i="1"/>
  <c r="J38" i="1"/>
  <c r="K38" i="1" s="1"/>
  <c r="L38" i="1" s="1"/>
  <c r="G38" i="1"/>
  <c r="J37" i="1"/>
  <c r="K37" i="1" s="1"/>
  <c r="L37" i="1" s="1"/>
  <c r="G37" i="1"/>
  <c r="J36" i="1"/>
  <c r="K36" i="1" s="1"/>
  <c r="L36" i="1" s="1"/>
  <c r="G36" i="1"/>
  <c r="K35" i="1"/>
  <c r="G35" i="1"/>
  <c r="L35" i="1" s="1"/>
  <c r="J34" i="1"/>
  <c r="I34" i="1"/>
  <c r="K34" i="1" s="1"/>
  <c r="L34" i="1" s="1"/>
  <c r="G34" i="1"/>
  <c r="J33" i="1"/>
  <c r="K33" i="1" s="1"/>
  <c r="L33" i="1" s="1"/>
  <c r="G33" i="1"/>
  <c r="P31" i="1"/>
  <c r="O31" i="1"/>
  <c r="K31" i="1"/>
  <c r="L31" i="1" s="1"/>
  <c r="J31" i="1"/>
  <c r="G31" i="1"/>
  <c r="O30" i="1"/>
  <c r="P30" i="1" s="1"/>
  <c r="J30" i="1"/>
  <c r="K30" i="1" s="1"/>
  <c r="L30" i="1" s="1"/>
  <c r="G30" i="1"/>
  <c r="P29" i="1"/>
  <c r="O29" i="1"/>
  <c r="K29" i="1"/>
  <c r="L29" i="1" s="1"/>
  <c r="J29" i="1"/>
  <c r="G29" i="1"/>
  <c r="O28" i="1"/>
  <c r="P28" i="1" s="1"/>
  <c r="K27" i="1"/>
  <c r="L27" i="1" s="1"/>
  <c r="J27" i="1"/>
  <c r="I27" i="1"/>
  <c r="O27" i="1" s="1"/>
  <c r="P27" i="1" s="1"/>
  <c r="G27" i="1"/>
  <c r="P26" i="1"/>
  <c r="O26" i="1"/>
  <c r="J26" i="1"/>
  <c r="K26" i="1" s="1"/>
  <c r="L26" i="1" s="1"/>
  <c r="G26" i="1"/>
  <c r="P25" i="1"/>
  <c r="O24" i="1"/>
  <c r="P24" i="1" s="1"/>
  <c r="J24" i="1"/>
  <c r="K24" i="1" s="1"/>
  <c r="L24" i="1" s="1"/>
  <c r="G24" i="1"/>
  <c r="K22" i="1"/>
  <c r="L22" i="1" s="1"/>
  <c r="J22" i="1"/>
  <c r="I22" i="1"/>
  <c r="O22" i="1" s="1"/>
  <c r="P22" i="1" s="1"/>
  <c r="G22" i="1"/>
  <c r="I21" i="1"/>
  <c r="O21" i="1" s="1"/>
  <c r="P21" i="1" s="1"/>
  <c r="G21" i="1"/>
  <c r="O19" i="1"/>
  <c r="P19" i="1" s="1"/>
  <c r="L19" i="1"/>
  <c r="K19" i="1"/>
  <c r="J19" i="1"/>
  <c r="G19" i="1"/>
  <c r="P18" i="1"/>
  <c r="O18" i="1"/>
  <c r="J18" i="1"/>
  <c r="K18" i="1" s="1"/>
  <c r="L18" i="1" s="1"/>
  <c r="G18" i="1"/>
  <c r="O17" i="1"/>
  <c r="P17" i="1" s="1"/>
  <c r="L17" i="1"/>
  <c r="K17" i="1"/>
  <c r="J17" i="1"/>
  <c r="G17" i="1"/>
  <c r="J15" i="1"/>
  <c r="K15" i="1" s="1"/>
  <c r="L15" i="1" s="1"/>
  <c r="I15" i="1"/>
  <c r="O15" i="1" s="1"/>
  <c r="P15" i="1" s="1"/>
  <c r="G15" i="1"/>
  <c r="J14" i="1"/>
  <c r="I14" i="1"/>
  <c r="K14" i="1" s="1"/>
  <c r="L14" i="1" s="1"/>
  <c r="G14" i="1"/>
  <c r="O12" i="1"/>
  <c r="P12" i="1" s="1"/>
  <c r="L12" i="1"/>
  <c r="K12" i="1"/>
  <c r="J12" i="1"/>
  <c r="G12" i="1"/>
  <c r="P11" i="1"/>
  <c r="O11" i="1"/>
  <c r="J11" i="1"/>
  <c r="K11" i="1" s="1"/>
  <c r="L11" i="1" s="1"/>
  <c r="G11" i="1"/>
  <c r="O10" i="1"/>
  <c r="P10" i="1" s="1"/>
  <c r="L10" i="1"/>
  <c r="K10" i="1"/>
  <c r="J10" i="1"/>
  <c r="G10" i="1"/>
  <c r="P9" i="1"/>
  <c r="O9" i="1"/>
  <c r="J9" i="1"/>
  <c r="K9" i="1" s="1"/>
  <c r="L9" i="1" s="1"/>
  <c r="G9" i="1"/>
  <c r="O8" i="1"/>
  <c r="P8" i="1" s="1"/>
  <c r="L8" i="1"/>
  <c r="K8" i="1"/>
  <c r="J8" i="1"/>
  <c r="G8" i="1"/>
  <c r="P7" i="1"/>
  <c r="O7" i="1"/>
  <c r="J7" i="1"/>
  <c r="K7" i="1" s="1"/>
  <c r="L7" i="1" s="1"/>
  <c r="G7" i="1"/>
  <c r="J5" i="1"/>
  <c r="I5" i="1"/>
  <c r="K5" i="1" s="1"/>
  <c r="L5" i="1" s="1"/>
  <c r="G5" i="1"/>
  <c r="K4" i="1"/>
  <c r="L4" i="1" s="1"/>
  <c r="J4" i="1"/>
  <c r="I4" i="1"/>
  <c r="O4" i="1" s="1"/>
  <c r="P4" i="1" s="1"/>
  <c r="G4" i="1"/>
  <c r="J3" i="1"/>
  <c r="K3" i="1" s="1"/>
  <c r="I3" i="1"/>
  <c r="O3" i="1" s="1"/>
  <c r="P3" i="1" s="1"/>
  <c r="G3" i="1"/>
  <c r="E51" i="1" s="1"/>
  <c r="L3" i="1" l="1"/>
  <c r="P51" i="1"/>
  <c r="O14" i="1"/>
  <c r="P14" i="1" s="1"/>
  <c r="O5" i="1"/>
  <c r="P5" i="1" s="1"/>
  <c r="K21" i="1"/>
  <c r="L21" i="1" s="1"/>
  <c r="K51" i="1" l="1"/>
  <c r="K52" i="1" s="1"/>
  <c r="E53" i="1" s="1"/>
  <c r="K53" i="1" s="1"/>
</calcChain>
</file>

<file path=xl/sharedStrings.xml><?xml version="1.0" encoding="utf-8"?>
<sst xmlns="http://schemas.openxmlformats.org/spreadsheetml/2006/main" count="153" uniqueCount="116">
  <si>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</si>
  <si>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</si>
  <si>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</si>
  <si>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</si>
  <si>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</si>
  <si>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</si>
  <si>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</si>
  <si>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</si>
  <si>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</si>
  <si>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</si>
  <si>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</si>
  <si>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</t>
  </si>
  <si>
    <t>risk</t>
  </si>
  <si>
    <t>high</t>
  </si>
  <si>
    <t>Stop</t>
  </si>
  <si>
    <t>S.S.I.</t>
  </si>
  <si>
    <t>Gold&amp;Silver Royalties</t>
  </si>
  <si>
    <t>Royal Gold</t>
  </si>
  <si>
    <t>RGLD</t>
  </si>
  <si>
    <t>L</t>
  </si>
  <si>
    <t>Wheathon Precious Metals</t>
  </si>
  <si>
    <t>WPM</t>
  </si>
  <si>
    <t>Metella Royalty &amp; Streaming Ltd</t>
  </si>
  <si>
    <t>MTA^%</t>
  </si>
  <si>
    <t>H</t>
  </si>
  <si>
    <t>Edelmetaal  Miners</t>
  </si>
  <si>
    <t>Ascot Resources</t>
  </si>
  <si>
    <t>AOT^</t>
  </si>
  <si>
    <t>M</t>
  </si>
  <si>
    <t>Bear Creek Mining</t>
  </si>
  <si>
    <t>BCM^</t>
  </si>
  <si>
    <t>Plato Gold Corp</t>
  </si>
  <si>
    <t>PGC^</t>
  </si>
  <si>
    <t>First Majestic Silver</t>
  </si>
  <si>
    <t>AG</t>
  </si>
  <si>
    <t>Pan American Silver</t>
  </si>
  <si>
    <t>PAAS</t>
  </si>
  <si>
    <t>Coeur Mining Inc</t>
  </si>
  <si>
    <t>CDE</t>
  </si>
  <si>
    <t>Dividend Income</t>
  </si>
  <si>
    <t>Gamco Global G&amp;Nat res</t>
  </si>
  <si>
    <t>GGN</t>
  </si>
  <si>
    <t>Sprott Inc</t>
  </si>
  <si>
    <t>SII^</t>
  </si>
  <si>
    <t>Uranium</t>
  </si>
  <si>
    <t>NexGen Energy Ltd</t>
  </si>
  <si>
    <t>NXE^</t>
  </si>
  <si>
    <t>Ur-Energy</t>
  </si>
  <si>
    <t>URG</t>
  </si>
  <si>
    <t>Uranium Royalty Corp</t>
  </si>
  <si>
    <t>URC^</t>
  </si>
  <si>
    <t>Energy</t>
  </si>
  <si>
    <t>Royal Dutch Shell</t>
  </si>
  <si>
    <t>RDSA</t>
  </si>
  <si>
    <t>Shell Midstream Partners</t>
  </si>
  <si>
    <t>SHLX</t>
  </si>
  <si>
    <t>Short</t>
  </si>
  <si>
    <t>Proshares Ultrashort S&amp;P</t>
  </si>
  <si>
    <t>SDS</t>
  </si>
  <si>
    <t>EV-metals</t>
  </si>
  <si>
    <t>Lundin Mining Corp</t>
  </si>
  <si>
    <t>LUN^</t>
  </si>
  <si>
    <t>Norilsk Nikkel</t>
  </si>
  <si>
    <t>NILSY</t>
  </si>
  <si>
    <t>Base - metals</t>
  </si>
  <si>
    <t>Atico Mining Corp</t>
  </si>
  <si>
    <t>ATY^</t>
  </si>
  <si>
    <t>Nevada Copper Mines</t>
  </si>
  <si>
    <t>NCU</t>
  </si>
  <si>
    <t>Ivanhoe Mines</t>
  </si>
  <si>
    <t>IVN</t>
  </si>
  <si>
    <t>FGS</t>
  </si>
  <si>
    <t>Canopy Growth Compagny</t>
  </si>
  <si>
    <t>WEED^</t>
  </si>
  <si>
    <t>Innovative Industrial Properties</t>
  </si>
  <si>
    <t>IIPR</t>
  </si>
  <si>
    <t>Bitcoin</t>
  </si>
  <si>
    <t>Pretium Resources Inc</t>
  </si>
  <si>
    <t>PVG</t>
  </si>
  <si>
    <t>New Pacific Metals</t>
  </si>
  <si>
    <t>NUAG^</t>
  </si>
  <si>
    <t>ELY Gold Royalties</t>
  </si>
  <si>
    <t>ELY^</t>
  </si>
  <si>
    <t>Franco Nevada</t>
  </si>
  <si>
    <t>FNV</t>
  </si>
  <si>
    <t>Sandstorm Gold</t>
  </si>
  <si>
    <t>SAND</t>
  </si>
  <si>
    <t>Cash Trades</t>
  </si>
  <si>
    <t>Euro/dollar</t>
  </si>
  <si>
    <t>$</t>
  </si>
  <si>
    <t>Cash</t>
  </si>
  <si>
    <t>Opties portfolio 2019/20</t>
  </si>
  <si>
    <t>Amerikaanse dollar</t>
  </si>
  <si>
    <t>Canadese dollar</t>
  </si>
  <si>
    <t>CAD</t>
  </si>
  <si>
    <t>CASH SPENT ON STOCKS</t>
  </si>
  <si>
    <t>CASH GENERATED/LOST ON STOCKS</t>
  </si>
  <si>
    <t>Cash %</t>
  </si>
  <si>
    <t>STARTKAPITAAL 2020</t>
  </si>
  <si>
    <t>PROFIT/LOSS</t>
  </si>
  <si>
    <t>STARTKAPITAAL-CASH SPENT ON STOCKS+PROFIT</t>
  </si>
  <si>
    <t>TOTAL RENDEMENT</t>
  </si>
  <si>
    <t>Watchlist/Koop lijst</t>
  </si>
  <si>
    <t>Rec. Date</t>
  </si>
  <si>
    <t>Rec. Exch rate</t>
  </si>
  <si>
    <t>Rec. Price</t>
  </si>
  <si>
    <t>Euro</t>
  </si>
  <si>
    <t>&lt; or &gt;</t>
  </si>
  <si>
    <t>Div.</t>
  </si>
  <si>
    <t>Buy or Sell</t>
  </si>
  <si>
    <t>Remarks</t>
  </si>
  <si>
    <t>Altria</t>
  </si>
  <si>
    <t>MO</t>
  </si>
  <si>
    <t>&lt;</t>
  </si>
  <si>
    <t>Buy</t>
  </si>
  <si>
    <t>Be patient/ Hold for a long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</si>
</sst>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[$€-2]\ * #,##0_);_([$€-2]\ * \(#,##0\);_([$€-2]\ * &quot;-&quot;??_);_(@_)"/>
    <numFmt numFmtId="167" formatCode="0.0%"/>
    <numFmt numFmtId="168" formatCode="0.0000"/>
    <numFmt numFmtId="169" formatCode="_(* #,##0.000_);_(* \(#,##0.000\);_(* &quot;-&quot;??_);_(@_)"/>
    <numFmt numFmtId="170" formatCode="_([$€-2]\ * #,##0.00_);_([$€-2]\ * \(#,##0.00\);_([$€-2]\ * &quot;-&quot;??_);_(@_)"/>
    <numFmt numFmtId="171" formatCode="#,##0.0000"/>
    <numFmt numFmtId="172" formatCode="_(&quot;€&quot;\ * #,##0_);_(&quot;€&quot;\ * \(#,##0\);_(&quot;€&quot;\ * &quot;-&quot;??_);_(@_)"/>
    <numFmt numFmtId="173" formatCode="_ [$€-413]\ * #,##0_ ;_ [$€-413]\ * \-#,##0_ ;_ [$€-413]\ * &quot;-&quot;??_ ;_ @_ 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165" fontId="3" fillId="0" borderId="1" xfId="0" applyNumberFormat="1" applyFont="1" applyBorder="1"/>
    <xf numFmtId="2" fontId="3" fillId="0" borderId="1" xfId="0" applyNumberFormat="1" applyFont="1" applyBorder="1"/>
    <xf numFmtId="166" fontId="3" fillId="0" borderId="1" xfId="0" applyNumberFormat="1" applyFont="1" applyBorder="1"/>
    <xf numFmtId="43" fontId="3" fillId="0" borderId="1" xfId="0" applyNumberFormat="1" applyFont="1" applyBorder="1"/>
    <xf numFmtId="167" fontId="3" fillId="0" borderId="1" xfId="3" applyNumberFormat="1" applyFont="1" applyBorder="1"/>
    <xf numFmtId="2" fontId="3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43" fontId="3" fillId="0" borderId="1" xfId="1" applyFont="1" applyBorder="1"/>
    <xf numFmtId="43" fontId="3" fillId="0" borderId="1" xfId="1" applyFont="1" applyBorder="1" applyAlignment="1">
      <alignment horizontal="right"/>
    </xf>
    <xf numFmtId="43" fontId="3" fillId="0" borderId="1" xfId="0" applyNumberFormat="1" applyFont="1" applyBorder="1" applyAlignment="1">
      <alignment horizontal="center"/>
    </xf>
    <xf numFmtId="168" fontId="3" fillId="0" borderId="1" xfId="0" applyNumberFormat="1" applyFont="1" applyBorder="1"/>
    <xf numFmtId="169" fontId="3" fillId="0" borderId="1" xfId="1" applyNumberFormat="1" applyFont="1" applyBorder="1"/>
    <xf numFmtId="169" fontId="3" fillId="0" borderId="1" xfId="1" applyNumberFormat="1" applyFont="1" applyBorder="1" applyAlignment="1">
      <alignment horizontal="right"/>
    </xf>
    <xf numFmtId="1" fontId="3" fillId="0" borderId="1" xfId="0" applyNumberFormat="1" applyFont="1" applyBorder="1"/>
    <xf numFmtId="170" fontId="3" fillId="0" borderId="1" xfId="0" applyNumberFormat="1" applyFont="1" applyBorder="1"/>
    <xf numFmtId="171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14" fontId="6" fillId="0" borderId="1" xfId="0" applyNumberFormat="1" applyFont="1" applyBorder="1"/>
    <xf numFmtId="43" fontId="6" fillId="0" borderId="1" xfId="0" applyNumberFormat="1" applyFont="1" applyBorder="1"/>
    <xf numFmtId="43" fontId="6" fillId="0" borderId="1" xfId="0" applyNumberFormat="1" applyFont="1" applyBorder="1" applyAlignment="1">
      <alignment horizontal="right"/>
    </xf>
    <xf numFmtId="43" fontId="3" fillId="0" borderId="1" xfId="1" applyFont="1" applyFill="1" applyBorder="1"/>
    <xf numFmtId="43" fontId="3" fillId="0" borderId="1" xfId="1" applyFont="1" applyFill="1" applyBorder="1" applyAlignment="1">
      <alignment horizontal="right"/>
    </xf>
    <xf numFmtId="166" fontId="3" fillId="0" borderId="1" xfId="2" applyNumberFormat="1" applyFont="1" applyBorder="1"/>
    <xf numFmtId="172" fontId="3" fillId="0" borderId="1" xfId="2" applyNumberFormat="1" applyFont="1" applyBorder="1"/>
    <xf numFmtId="0" fontId="2" fillId="0" borderId="1" xfId="0" applyFont="1" applyBorder="1" applyAlignment="1">
      <alignment horizontal="left"/>
    </xf>
    <xf numFmtId="173" fontId="2" fillId="0" borderId="1" xfId="0" applyNumberFormat="1" applyFont="1" applyBorder="1" applyAlignment="1">
      <alignment horizontal="left"/>
    </xf>
    <xf numFmtId="172" fontId="2" fillId="0" borderId="1" xfId="2" applyNumberFormat="1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7" fontId="2" fillId="0" borderId="1" xfId="3" applyNumberFormat="1" applyFont="1" applyBorder="1" applyAlignment="1">
      <alignment horizontal="right"/>
    </xf>
    <xf numFmtId="173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167" fontId="2" fillId="0" borderId="1" xfId="3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7" fontId="3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der/Documents/4.%20Martin/Werk/Stocks4u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Formules"/>
      <sheetName val="Dividend"/>
      <sheetName val="Gouddichtheid"/>
      <sheetName val="Watchlist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/>
      <sheetData sheetId="1"/>
      <sheetData sheetId="2"/>
      <sheetData sheetId="3">
        <row r="3">
          <cell r="P3">
            <v>2.4500000000000002</v>
          </cell>
        </row>
        <row r="4">
          <cell r="P4">
            <v>0.91999999999999993</v>
          </cell>
        </row>
        <row r="5">
          <cell r="P5">
            <v>5.84</v>
          </cell>
        </row>
        <row r="6">
          <cell r="P6">
            <v>7.5</v>
          </cell>
        </row>
        <row r="7">
          <cell r="P7">
            <v>1.62</v>
          </cell>
        </row>
        <row r="8">
          <cell r="P8">
            <v>2.9000000000000001E-2</v>
          </cell>
        </row>
        <row r="9">
          <cell r="P9">
            <v>3.07</v>
          </cell>
        </row>
        <row r="10">
          <cell r="P10">
            <v>0.46</v>
          </cell>
        </row>
        <row r="12">
          <cell r="P12">
            <v>0.15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9A98F-FDB2-F34B-8F09-A8192D5FFF57}">
  <dimension ref="A1:P57"/>
  <sheetViews>
    <sheetView tabSelected="1" workbookViewId="0">
      <selection activeCell="R7" sqref="R7"/>
    </sheetView>
  </sheetViews>
  <sheetFormatPr baseColWidth="10" defaultRowHeight="16"/>
  <cols>
    <col min="1" max="1" width="19" bestFit="1" customWidth="1"/>
    <col min="2" max="2" width="5.1640625" bestFit="1" customWidth="1"/>
    <col min="3" max="3" width="6.83203125" bestFit="1" customWidth="1"/>
    <col min="4" max="4" width="4.5" bestFit="1" customWidth="1"/>
    <col min="5" max="5" width="8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9.33203125" bestFit="1" customWidth="1"/>
    <col min="11" max="11" width="6.33203125" bestFit="1" customWidth="1"/>
    <col min="12" max="12" width="4.83203125" bestFit="1" customWidth="1"/>
    <col min="13" max="13" width="2.83203125" bestFit="1" customWidth="1"/>
    <col min="14" max="14" width="4.5" bestFit="1" customWidth="1"/>
    <col min="15" max="15" width="5.1640625" bestFit="1" customWidth="1"/>
    <col min="16" max="16" width="4.83203125" bestFit="1" customWidth="1"/>
  </cols>
  <sheetData>
    <row r="1" spans="1:1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3" t="s">
        <v>13</v>
      </c>
      <c r="O1" s="1" t="s">
        <v>14</v>
      </c>
      <c r="P1" s="3" t="s">
        <v>15</v>
      </c>
    </row>
    <row r="2" spans="1:16">
      <c r="A2" s="1" t="s">
        <v>16</v>
      </c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6"/>
      <c r="N2" s="7"/>
      <c r="O2" s="4"/>
      <c r="P2" s="6"/>
    </row>
    <row r="3" spans="1:16">
      <c r="A3" s="4" t="s">
        <v>17</v>
      </c>
      <c r="B3" s="4" t="s">
        <v>18</v>
      </c>
      <c r="C3" s="5">
        <v>43364</v>
      </c>
      <c r="D3" s="8">
        <v>16</v>
      </c>
      <c r="E3" s="9">
        <v>1.17</v>
      </c>
      <c r="F3" s="10">
        <v>77</v>
      </c>
      <c r="G3" s="11">
        <f t="shared" ref="G3:G39" si="0">(F3*D3)/E3</f>
        <v>1052.9914529914531</v>
      </c>
      <c r="H3" s="10">
        <v>121.05</v>
      </c>
      <c r="I3" s="12">
        <f>[1]Dividend!P7</f>
        <v>1.62</v>
      </c>
      <c r="J3" s="9">
        <f>J48</f>
        <v>1.1249</v>
      </c>
      <c r="K3" s="11">
        <f t="shared" ref="K3:K39" si="1">((H3+I3)/J3)*D3</f>
        <v>1744.7950928971463</v>
      </c>
      <c r="L3" s="13">
        <f t="shared" ref="L3:L31" si="2">(K3-G3)/G3</f>
        <v>0.65698884633901056</v>
      </c>
      <c r="M3" s="6" t="s">
        <v>19</v>
      </c>
      <c r="N3" s="14">
        <v>136.96</v>
      </c>
      <c r="O3" s="12">
        <f>(N3+I3)*0.75</f>
        <v>103.935</v>
      </c>
      <c r="P3" s="15">
        <f>O3-F3</f>
        <v>26.935000000000002</v>
      </c>
    </row>
    <row r="4" spans="1:16">
      <c r="A4" s="4" t="s">
        <v>20</v>
      </c>
      <c r="B4" s="4" t="s">
        <v>21</v>
      </c>
      <c r="C4" s="5">
        <v>43682</v>
      </c>
      <c r="D4" s="8">
        <v>40</v>
      </c>
      <c r="E4" s="9">
        <v>1.1200000000000001</v>
      </c>
      <c r="F4" s="4">
        <v>30.41</v>
      </c>
      <c r="G4" s="11">
        <f t="shared" si="0"/>
        <v>1086.0714285714284</v>
      </c>
      <c r="H4" s="10">
        <v>43.28</v>
      </c>
      <c r="I4" s="12">
        <f>[1]Dividend!P4</f>
        <v>0.91999999999999993</v>
      </c>
      <c r="J4" s="9">
        <f>J48</f>
        <v>1.1249</v>
      </c>
      <c r="K4" s="11">
        <f t="shared" si="1"/>
        <v>1571.6952618010489</v>
      </c>
      <c r="L4" s="13">
        <f t="shared" si="2"/>
        <v>0.44713802467705932</v>
      </c>
      <c r="M4" s="6" t="s">
        <v>19</v>
      </c>
      <c r="N4" s="14">
        <v>46.7</v>
      </c>
      <c r="O4" s="12">
        <f>(N4+I4)*0.75</f>
        <v>35.715000000000003</v>
      </c>
      <c r="P4" s="15">
        <f t="shared" ref="P4:P31" si="3">O4-F4</f>
        <v>5.3050000000000033</v>
      </c>
    </row>
    <row r="5" spans="1:16">
      <c r="A5" s="4" t="s">
        <v>22</v>
      </c>
      <c r="B5" s="4" t="s">
        <v>23</v>
      </c>
      <c r="C5" s="5">
        <v>43683</v>
      </c>
      <c r="D5" s="8">
        <v>66</v>
      </c>
      <c r="E5" s="9">
        <v>1.49</v>
      </c>
      <c r="F5" s="4">
        <v>4.6399999999999997</v>
      </c>
      <c r="G5" s="11">
        <f t="shared" si="0"/>
        <v>205.53020134228186</v>
      </c>
      <c r="H5" s="10">
        <v>7.1</v>
      </c>
      <c r="I5" s="12">
        <f>[1]Dividend!P8</f>
        <v>2.9000000000000001E-2</v>
      </c>
      <c r="J5" s="9">
        <f>J49</f>
        <v>1.53</v>
      </c>
      <c r="K5" s="11">
        <f t="shared" si="1"/>
        <v>307.52549019607841</v>
      </c>
      <c r="L5" s="13">
        <f t="shared" si="2"/>
        <v>0.49625450755014655</v>
      </c>
      <c r="M5" s="6" t="s">
        <v>24</v>
      </c>
      <c r="N5" s="14">
        <v>8.25</v>
      </c>
      <c r="O5" s="12">
        <f>(N5+I5)*0.5</f>
        <v>4.1395</v>
      </c>
      <c r="P5" s="16">
        <f>O5-F5</f>
        <v>-0.50049999999999972</v>
      </c>
    </row>
    <row r="6" spans="1:16">
      <c r="A6" s="1" t="s">
        <v>25</v>
      </c>
      <c r="B6" s="4"/>
      <c r="C6" s="5"/>
      <c r="D6" s="4"/>
      <c r="E6" s="4"/>
      <c r="F6" s="17"/>
      <c r="G6" s="11"/>
      <c r="H6" s="18"/>
      <c r="I6" s="4"/>
      <c r="J6" s="4"/>
      <c r="K6" s="11"/>
      <c r="L6" s="13"/>
      <c r="M6" s="6"/>
      <c r="N6" s="14"/>
      <c r="O6" s="12"/>
      <c r="P6" s="19"/>
    </row>
    <row r="7" spans="1:16">
      <c r="A7" s="4" t="s">
        <v>26</v>
      </c>
      <c r="B7" s="4" t="s">
        <v>27</v>
      </c>
      <c r="C7" s="5">
        <v>43837</v>
      </c>
      <c r="D7" s="4">
        <v>720</v>
      </c>
      <c r="E7" s="20">
        <v>1.45</v>
      </c>
      <c r="F7" s="17">
        <v>0.81</v>
      </c>
      <c r="G7" s="11">
        <f t="shared" si="0"/>
        <v>402.20689655172418</v>
      </c>
      <c r="H7" s="18">
        <v>1.18</v>
      </c>
      <c r="I7" s="4">
        <v>0</v>
      </c>
      <c r="J7" s="20">
        <f>J49</f>
        <v>1.53</v>
      </c>
      <c r="K7" s="11">
        <f t="shared" si="1"/>
        <v>555.29411764705878</v>
      </c>
      <c r="L7" s="13">
        <f t="shared" si="2"/>
        <v>0.38061809085774201</v>
      </c>
      <c r="M7" s="6" t="s">
        <v>28</v>
      </c>
      <c r="N7" s="14">
        <v>1.18</v>
      </c>
      <c r="O7" s="12">
        <f>(N7+I7)*0.33</f>
        <v>0.38940000000000002</v>
      </c>
      <c r="P7" s="16">
        <f t="shared" si="3"/>
        <v>-0.42060000000000003</v>
      </c>
    </row>
    <row r="8" spans="1:16">
      <c r="A8" s="4" t="s">
        <v>29</v>
      </c>
      <c r="B8" s="4" t="s">
        <v>30</v>
      </c>
      <c r="C8" s="5">
        <v>43850</v>
      </c>
      <c r="D8" s="4">
        <v>122</v>
      </c>
      <c r="E8" s="20">
        <v>1.45</v>
      </c>
      <c r="F8" s="17">
        <v>2.4700000000000002</v>
      </c>
      <c r="G8" s="11">
        <f t="shared" si="0"/>
        <v>207.82068965517243</v>
      </c>
      <c r="H8" s="18">
        <v>2.42</v>
      </c>
      <c r="I8" s="4">
        <v>0</v>
      </c>
      <c r="J8" s="20">
        <f>J49</f>
        <v>1.53</v>
      </c>
      <c r="K8" s="11">
        <f t="shared" si="1"/>
        <v>192.96732026143789</v>
      </c>
      <c r="L8" s="13">
        <f t="shared" si="2"/>
        <v>-7.1472043608266672E-2</v>
      </c>
      <c r="M8" s="6" t="s">
        <v>24</v>
      </c>
      <c r="N8" s="14">
        <v>2.9</v>
      </c>
      <c r="O8" s="12">
        <f>(N8+I8)*0.33</f>
        <v>0.95699999999999996</v>
      </c>
      <c r="P8" s="16">
        <f t="shared" si="3"/>
        <v>-1.5130000000000003</v>
      </c>
    </row>
    <row r="9" spans="1:16">
      <c r="A9" s="4" t="s">
        <v>31</v>
      </c>
      <c r="B9" s="4" t="s">
        <v>32</v>
      </c>
      <c r="C9" s="5">
        <v>43881</v>
      </c>
      <c r="D9" s="4">
        <v>6400</v>
      </c>
      <c r="E9" s="20">
        <v>1.43</v>
      </c>
      <c r="F9" s="21">
        <v>4.4999999999999998E-2</v>
      </c>
      <c r="G9" s="11">
        <f t="shared" si="0"/>
        <v>201.39860139860141</v>
      </c>
      <c r="H9" s="22">
        <v>3.5000000000000003E-2</v>
      </c>
      <c r="I9" s="4">
        <v>0</v>
      </c>
      <c r="J9" s="20">
        <f>J49</f>
        <v>1.53</v>
      </c>
      <c r="K9" s="11">
        <f t="shared" si="1"/>
        <v>146.40522875816995</v>
      </c>
      <c r="L9" s="13">
        <f t="shared" si="2"/>
        <v>-0.27305737109658673</v>
      </c>
      <c r="M9" s="6" t="s">
        <v>24</v>
      </c>
      <c r="N9" s="14">
        <v>0.05</v>
      </c>
      <c r="O9" s="12">
        <f>(N9+I9)*0.33</f>
        <v>1.6500000000000001E-2</v>
      </c>
      <c r="P9" s="16">
        <f t="shared" si="3"/>
        <v>-2.8499999999999998E-2</v>
      </c>
    </row>
    <row r="10" spans="1:16">
      <c r="A10" s="4" t="s">
        <v>33</v>
      </c>
      <c r="B10" s="4" t="s">
        <v>34</v>
      </c>
      <c r="C10" s="5">
        <v>43956</v>
      </c>
      <c r="D10" s="4">
        <v>54</v>
      </c>
      <c r="E10" s="20">
        <v>1.08</v>
      </c>
      <c r="F10" s="17">
        <v>8</v>
      </c>
      <c r="G10" s="11">
        <f t="shared" si="0"/>
        <v>400</v>
      </c>
      <c r="H10" s="18">
        <v>9.5</v>
      </c>
      <c r="I10" s="4">
        <v>0</v>
      </c>
      <c r="J10" s="4">
        <f>J48</f>
        <v>1.1249</v>
      </c>
      <c r="K10" s="11">
        <f t="shared" si="1"/>
        <v>456.0405369366166</v>
      </c>
      <c r="L10" s="13">
        <f t="shared" si="2"/>
        <v>0.14010134234154151</v>
      </c>
      <c r="M10" s="6" t="s">
        <v>28</v>
      </c>
      <c r="N10" s="14">
        <v>9.7100000000000009</v>
      </c>
      <c r="O10" s="12">
        <f>(N10+I10)*0.5</f>
        <v>4.8550000000000004</v>
      </c>
      <c r="P10" s="16">
        <f t="shared" si="3"/>
        <v>-3.1449999999999996</v>
      </c>
    </row>
    <row r="11" spans="1:16">
      <c r="A11" s="4" t="s">
        <v>35</v>
      </c>
      <c r="B11" s="4" t="s">
        <v>36</v>
      </c>
      <c r="C11" s="5">
        <v>43958</v>
      </c>
      <c r="D11" s="4">
        <v>20</v>
      </c>
      <c r="E11" s="20">
        <v>1.08</v>
      </c>
      <c r="F11" s="17">
        <v>21.5</v>
      </c>
      <c r="G11" s="11">
        <f t="shared" si="0"/>
        <v>398.1481481481481</v>
      </c>
      <c r="H11" s="18">
        <v>29.24</v>
      </c>
      <c r="I11" s="4">
        <v>0</v>
      </c>
      <c r="J11" s="4">
        <f>J48</f>
        <v>1.1249</v>
      </c>
      <c r="K11" s="11">
        <f t="shared" si="1"/>
        <v>519.86843274957766</v>
      </c>
      <c r="L11" s="13">
        <f t="shared" si="2"/>
        <v>0.30571606365010223</v>
      </c>
      <c r="M11" s="6" t="s">
        <v>28</v>
      </c>
      <c r="N11" s="14">
        <v>30.39</v>
      </c>
      <c r="O11" s="12">
        <f>(N11+I11)*0.5</f>
        <v>15.195</v>
      </c>
      <c r="P11" s="16">
        <f>O11-F11</f>
        <v>-6.3049999999999997</v>
      </c>
    </row>
    <row r="12" spans="1:16">
      <c r="A12" s="4" t="s">
        <v>37</v>
      </c>
      <c r="B12" s="4" t="s">
        <v>38</v>
      </c>
      <c r="C12" s="5">
        <v>43994</v>
      </c>
      <c r="D12" s="4">
        <v>90</v>
      </c>
      <c r="E12" s="20">
        <v>1.1255999999999999</v>
      </c>
      <c r="F12" s="17">
        <v>5</v>
      </c>
      <c r="G12" s="11">
        <f t="shared" si="0"/>
        <v>399.78678038379536</v>
      </c>
      <c r="H12" s="18">
        <v>4.8499999999999996</v>
      </c>
      <c r="I12" s="4">
        <v>0</v>
      </c>
      <c r="J12" s="4">
        <f>J48</f>
        <v>1.1249</v>
      </c>
      <c r="K12" s="11">
        <f t="shared" si="1"/>
        <v>388.03449195484041</v>
      </c>
      <c r="L12" s="13">
        <f t="shared" si="2"/>
        <v>-2.9396390790292659E-2</v>
      </c>
      <c r="M12" s="6" t="s">
        <v>28</v>
      </c>
      <c r="N12" s="14">
        <v>5</v>
      </c>
      <c r="O12" s="12">
        <f>(N12+I12)*0.5</f>
        <v>2.5</v>
      </c>
      <c r="P12" s="16">
        <f t="shared" si="3"/>
        <v>-2.5</v>
      </c>
    </row>
    <row r="13" spans="1:16">
      <c r="A13" s="1" t="s">
        <v>39</v>
      </c>
      <c r="B13" s="4"/>
      <c r="C13" s="5"/>
      <c r="D13" s="4"/>
      <c r="E13" s="20"/>
      <c r="F13" s="17"/>
      <c r="G13" s="11"/>
      <c r="H13" s="18"/>
      <c r="I13" s="4"/>
      <c r="J13" s="4"/>
      <c r="K13" s="11"/>
      <c r="L13" s="13"/>
      <c r="M13" s="6"/>
      <c r="N13" s="7"/>
      <c r="O13" s="12"/>
      <c r="P13" s="19"/>
    </row>
    <row r="14" spans="1:16">
      <c r="A14" s="4" t="s">
        <v>40</v>
      </c>
      <c r="B14" s="4" t="s">
        <v>41</v>
      </c>
      <c r="C14" s="5">
        <v>43906</v>
      </c>
      <c r="D14" s="4">
        <v>900</v>
      </c>
      <c r="E14" s="20">
        <v>1.1200000000000001</v>
      </c>
      <c r="F14" s="17">
        <v>2.5</v>
      </c>
      <c r="G14" s="11">
        <f t="shared" si="0"/>
        <v>2008.9285714285713</v>
      </c>
      <c r="H14" s="18">
        <v>3.43</v>
      </c>
      <c r="I14" s="10">
        <f>[1]Dividend!P12</f>
        <v>0.15</v>
      </c>
      <c r="J14" s="4">
        <f>J48</f>
        <v>1.1249</v>
      </c>
      <c r="K14" s="11">
        <f t="shared" si="1"/>
        <v>2864.2546004089249</v>
      </c>
      <c r="L14" s="13">
        <f t="shared" si="2"/>
        <v>0.42576228998133159</v>
      </c>
      <c r="M14" s="6" t="s">
        <v>19</v>
      </c>
      <c r="N14" s="7">
        <v>3.52</v>
      </c>
      <c r="O14" s="12">
        <f>(N14+I14)*0.75</f>
        <v>2.7524999999999999</v>
      </c>
      <c r="P14" s="15">
        <f t="shared" si="3"/>
        <v>0.25249999999999995</v>
      </c>
    </row>
    <row r="15" spans="1:16">
      <c r="A15" s="4" t="s">
        <v>42</v>
      </c>
      <c r="B15" s="4" t="s">
        <v>43</v>
      </c>
      <c r="C15" s="5">
        <v>43360</v>
      </c>
      <c r="D15" s="4">
        <v>100</v>
      </c>
      <c r="E15" s="20">
        <v>1.52</v>
      </c>
      <c r="F15" s="17">
        <v>30.8</v>
      </c>
      <c r="G15" s="11">
        <f t="shared" si="0"/>
        <v>2026.3157894736842</v>
      </c>
      <c r="H15" s="18">
        <v>48.9</v>
      </c>
      <c r="I15" s="10">
        <f>[1]Dividend!P6</f>
        <v>7.5</v>
      </c>
      <c r="J15" s="20">
        <f>J49</f>
        <v>1.53</v>
      </c>
      <c r="K15" s="11">
        <f t="shared" si="1"/>
        <v>3686.2745098039213</v>
      </c>
      <c r="L15" s="13">
        <f t="shared" si="2"/>
        <v>0.81920040743570144</v>
      </c>
      <c r="M15" s="6" t="s">
        <v>19</v>
      </c>
      <c r="N15" s="7">
        <v>48.9</v>
      </c>
      <c r="O15" s="12">
        <f>(N15+I15)*0.75</f>
        <v>42.3</v>
      </c>
      <c r="P15" s="15">
        <f t="shared" si="3"/>
        <v>11.499999999999996</v>
      </c>
    </row>
    <row r="16" spans="1:16">
      <c r="A16" s="1" t="s">
        <v>44</v>
      </c>
      <c r="B16" s="4"/>
      <c r="C16" s="5"/>
      <c r="D16" s="4"/>
      <c r="E16" s="20"/>
      <c r="F16" s="17"/>
      <c r="G16" s="23"/>
      <c r="H16" s="18"/>
      <c r="I16" s="4"/>
      <c r="J16" s="4"/>
      <c r="K16" s="8"/>
      <c r="L16" s="13"/>
      <c r="M16" s="6"/>
      <c r="N16" s="7"/>
      <c r="O16" s="12"/>
      <c r="P16" s="19"/>
    </row>
    <row r="17" spans="1:16">
      <c r="A17" s="4" t="s">
        <v>45</v>
      </c>
      <c r="B17" s="4" t="s">
        <v>46</v>
      </c>
      <c r="C17" s="5">
        <v>43102</v>
      </c>
      <c r="D17" s="4">
        <v>550</v>
      </c>
      <c r="E17" s="20">
        <v>1.51</v>
      </c>
      <c r="F17" s="17">
        <v>2.1800000000000002</v>
      </c>
      <c r="G17" s="11">
        <f t="shared" si="0"/>
        <v>794.03973509933769</v>
      </c>
      <c r="H17" s="18">
        <v>1.8</v>
      </c>
      <c r="I17" s="4">
        <v>0</v>
      </c>
      <c r="J17" s="20">
        <f>J49</f>
        <v>1.53</v>
      </c>
      <c r="K17" s="11">
        <f t="shared" si="1"/>
        <v>647.05882352941182</v>
      </c>
      <c r="L17" s="13">
        <f t="shared" si="2"/>
        <v>-0.18510523475445209</v>
      </c>
      <c r="M17" s="6" t="s">
        <v>24</v>
      </c>
      <c r="N17" s="7">
        <v>3.14</v>
      </c>
      <c r="O17" s="12">
        <f>(N17+I17)*0.33</f>
        <v>1.0362</v>
      </c>
      <c r="P17" s="16">
        <f t="shared" si="3"/>
        <v>-1.1438000000000001</v>
      </c>
    </row>
    <row r="18" spans="1:16">
      <c r="A18" s="4" t="s">
        <v>47</v>
      </c>
      <c r="B18" s="4" t="s">
        <v>48</v>
      </c>
      <c r="C18" s="5">
        <v>43374</v>
      </c>
      <c r="D18" s="4">
        <v>1400</v>
      </c>
      <c r="E18" s="20">
        <v>1.1499999999999999</v>
      </c>
      <c r="F18" s="17">
        <v>0.66</v>
      </c>
      <c r="G18" s="11">
        <f t="shared" si="0"/>
        <v>803.47826086956525</v>
      </c>
      <c r="H18" s="18">
        <v>0.5171</v>
      </c>
      <c r="I18" s="4">
        <v>0</v>
      </c>
      <c r="J18" s="4">
        <f>J48</f>
        <v>1.1249</v>
      </c>
      <c r="K18" s="11">
        <f t="shared" si="1"/>
        <v>643.55942750466704</v>
      </c>
      <c r="L18" s="13">
        <f t="shared" si="2"/>
        <v>-0.19903318005371529</v>
      </c>
      <c r="M18" s="6" t="s">
        <v>24</v>
      </c>
      <c r="N18" s="7">
        <v>0.94</v>
      </c>
      <c r="O18" s="12">
        <f>(N18+I18)*0.33</f>
        <v>0.31019999999999998</v>
      </c>
      <c r="P18" s="16">
        <f t="shared" si="3"/>
        <v>-0.34980000000000006</v>
      </c>
    </row>
    <row r="19" spans="1:16">
      <c r="A19" s="4" t="s">
        <v>49</v>
      </c>
      <c r="B19" s="4" t="s">
        <v>50</v>
      </c>
      <c r="C19" s="5">
        <v>43822</v>
      </c>
      <c r="D19" s="4">
        <v>380</v>
      </c>
      <c r="E19" s="20">
        <v>1.1100000000000001</v>
      </c>
      <c r="F19" s="17">
        <v>1.18</v>
      </c>
      <c r="G19" s="11">
        <f t="shared" si="0"/>
        <v>403.96396396396392</v>
      </c>
      <c r="H19" s="18">
        <v>1.06</v>
      </c>
      <c r="I19" s="4">
        <v>0</v>
      </c>
      <c r="J19" s="20">
        <f>J49</f>
        <v>1.53</v>
      </c>
      <c r="K19" s="11">
        <f t="shared" si="1"/>
        <v>263.26797385620915</v>
      </c>
      <c r="L19" s="13">
        <f t="shared" si="2"/>
        <v>-0.3482884679295446</v>
      </c>
      <c r="M19" s="6" t="s">
        <v>28</v>
      </c>
      <c r="N19" s="7">
        <v>1.23</v>
      </c>
      <c r="O19" s="12">
        <f>(N19+I19)*0.5</f>
        <v>0.61499999999999999</v>
      </c>
      <c r="P19" s="16">
        <f t="shared" si="3"/>
        <v>-0.56499999999999995</v>
      </c>
    </row>
    <row r="20" spans="1:16">
      <c r="A20" s="1" t="s">
        <v>51</v>
      </c>
      <c r="B20" s="4"/>
      <c r="C20" s="5"/>
      <c r="D20" s="4"/>
      <c r="E20" s="4"/>
      <c r="F20" s="17"/>
      <c r="G20" s="24"/>
      <c r="H20" s="18"/>
      <c r="I20" s="4"/>
      <c r="J20" s="4"/>
      <c r="K20" s="11"/>
      <c r="L20" s="13"/>
      <c r="M20" s="6"/>
      <c r="N20" s="7"/>
      <c r="O20" s="12"/>
      <c r="P20" s="19"/>
    </row>
    <row r="21" spans="1:16">
      <c r="A21" s="4" t="s">
        <v>52</v>
      </c>
      <c r="B21" s="4" t="s">
        <v>53</v>
      </c>
      <c r="C21" s="5">
        <v>43540</v>
      </c>
      <c r="D21" s="4">
        <v>172</v>
      </c>
      <c r="E21" s="20">
        <v>1</v>
      </c>
      <c r="F21" s="17">
        <v>11.65</v>
      </c>
      <c r="G21" s="11">
        <f t="shared" si="0"/>
        <v>2003.8</v>
      </c>
      <c r="H21" s="18">
        <v>14.62</v>
      </c>
      <c r="I21" s="10">
        <f>[1]Dividend!P12</f>
        <v>0.15</v>
      </c>
      <c r="J21" s="25">
        <v>1</v>
      </c>
      <c r="K21" s="11">
        <f t="shared" si="1"/>
        <v>2540.44</v>
      </c>
      <c r="L21" s="13">
        <f t="shared" si="2"/>
        <v>0.26781115879828332</v>
      </c>
      <c r="M21" s="6" t="s">
        <v>19</v>
      </c>
      <c r="N21" s="7">
        <v>17.829999999999998</v>
      </c>
      <c r="O21" s="12">
        <f>(N21+I21)*0.75</f>
        <v>13.484999999999998</v>
      </c>
      <c r="P21" s="15">
        <f t="shared" si="3"/>
        <v>1.8349999999999973</v>
      </c>
    </row>
    <row r="22" spans="1:16">
      <c r="A22" s="4" t="s">
        <v>54</v>
      </c>
      <c r="B22" s="4" t="s">
        <v>55</v>
      </c>
      <c r="C22" s="5">
        <v>43540</v>
      </c>
      <c r="D22" s="4">
        <v>250</v>
      </c>
      <c r="E22" s="20">
        <v>1.1200000000000001</v>
      </c>
      <c r="F22" s="17">
        <v>9</v>
      </c>
      <c r="G22" s="11">
        <f t="shared" si="0"/>
        <v>2008.9285714285713</v>
      </c>
      <c r="H22" s="18">
        <v>11.82</v>
      </c>
      <c r="I22" s="10">
        <f>[1]Dividend!P10</f>
        <v>0.46</v>
      </c>
      <c r="J22" s="4">
        <f>J48</f>
        <v>1.1249</v>
      </c>
      <c r="K22" s="11">
        <f t="shared" si="1"/>
        <v>2729.1314783536318</v>
      </c>
      <c r="L22" s="13">
        <f t="shared" si="2"/>
        <v>0.35850100255825235</v>
      </c>
      <c r="M22" s="6" t="s">
        <v>19</v>
      </c>
      <c r="N22" s="7">
        <v>15.25</v>
      </c>
      <c r="O22" s="12">
        <f>(N22+I22)*0.75</f>
        <v>11.782500000000001</v>
      </c>
      <c r="P22" s="15">
        <f t="shared" si="3"/>
        <v>2.7825000000000006</v>
      </c>
    </row>
    <row r="23" spans="1:16">
      <c r="A23" s="1" t="s">
        <v>56</v>
      </c>
      <c r="B23" s="4"/>
      <c r="C23" s="5"/>
      <c r="D23" s="4"/>
      <c r="E23" s="4"/>
      <c r="F23" s="4"/>
      <c r="G23" s="24"/>
      <c r="H23" s="7"/>
      <c r="I23" s="4"/>
      <c r="J23" s="4"/>
      <c r="K23" s="11"/>
      <c r="L23" s="13"/>
      <c r="M23" s="6"/>
      <c r="N23" s="7"/>
      <c r="O23" s="12"/>
      <c r="P23" s="19"/>
    </row>
    <row r="24" spans="1:16">
      <c r="A24" s="4" t="s">
        <v>57</v>
      </c>
      <c r="B24" s="4" t="s">
        <v>58</v>
      </c>
      <c r="C24" s="5">
        <v>43437</v>
      </c>
      <c r="D24" s="4">
        <v>32</v>
      </c>
      <c r="E24" s="20">
        <v>1.1399999999999999</v>
      </c>
      <c r="F24" s="17">
        <v>36</v>
      </c>
      <c r="G24" s="11">
        <f t="shared" si="0"/>
        <v>1010.5263157894738</v>
      </c>
      <c r="H24" s="14">
        <v>18.96</v>
      </c>
      <c r="I24" s="4">
        <v>0</v>
      </c>
      <c r="J24" s="4">
        <f>J48</f>
        <v>1.1249</v>
      </c>
      <c r="K24" s="11">
        <f t="shared" si="1"/>
        <v>539.35460929860437</v>
      </c>
      <c r="L24" s="13">
        <f t="shared" si="2"/>
        <v>-0.46626366788158946</v>
      </c>
      <c r="M24" s="6" t="s">
        <v>24</v>
      </c>
      <c r="N24" s="14">
        <v>49</v>
      </c>
      <c r="O24" s="12">
        <f>(N24+I24)*0.33</f>
        <v>16.170000000000002</v>
      </c>
      <c r="P24" s="16">
        <f t="shared" si="3"/>
        <v>-19.829999999999998</v>
      </c>
    </row>
    <row r="25" spans="1:16">
      <c r="A25" s="1" t="s">
        <v>59</v>
      </c>
      <c r="B25" s="4"/>
      <c r="C25" s="5"/>
      <c r="D25" s="4"/>
      <c r="E25" s="20"/>
      <c r="F25" s="4"/>
      <c r="G25" s="11"/>
      <c r="H25" s="7"/>
      <c r="I25" s="4"/>
      <c r="J25" s="4"/>
      <c r="K25" s="11"/>
      <c r="L25" s="13"/>
      <c r="M25" s="6"/>
      <c r="N25" s="7"/>
      <c r="O25" s="12"/>
      <c r="P25" s="19">
        <f t="shared" si="3"/>
        <v>0</v>
      </c>
    </row>
    <row r="26" spans="1:16">
      <c r="A26" s="4" t="s">
        <v>60</v>
      </c>
      <c r="B26" s="4" t="s">
        <v>61</v>
      </c>
      <c r="C26" s="5">
        <v>43384</v>
      </c>
      <c r="D26" s="4">
        <v>40</v>
      </c>
      <c r="E26" s="20">
        <v>1.5</v>
      </c>
      <c r="F26" s="4">
        <v>5.96</v>
      </c>
      <c r="G26" s="11">
        <f t="shared" si="0"/>
        <v>158.93333333333334</v>
      </c>
      <c r="H26" s="14">
        <v>7.38</v>
      </c>
      <c r="I26" s="4">
        <v>0</v>
      </c>
      <c r="J26" s="20">
        <f>J49</f>
        <v>1.53</v>
      </c>
      <c r="K26" s="11">
        <f t="shared" si="1"/>
        <v>192.94117647058823</v>
      </c>
      <c r="L26" s="13">
        <f t="shared" si="2"/>
        <v>0.21397552309514406</v>
      </c>
      <c r="M26" s="6" t="s">
        <v>24</v>
      </c>
      <c r="N26" s="7">
        <v>7.94</v>
      </c>
      <c r="O26" s="12">
        <f>(N26+I26)*0.33</f>
        <v>2.6202000000000001</v>
      </c>
      <c r="P26" s="16">
        <f t="shared" si="3"/>
        <v>-3.3397999999999999</v>
      </c>
    </row>
    <row r="27" spans="1:16">
      <c r="A27" s="4" t="s">
        <v>62</v>
      </c>
      <c r="B27" s="4" t="s">
        <v>63</v>
      </c>
      <c r="C27" s="5">
        <v>43657</v>
      </c>
      <c r="D27" s="4">
        <v>26</v>
      </c>
      <c r="E27" s="20">
        <v>1.1299999999999999</v>
      </c>
      <c r="F27" s="4">
        <v>23.2</v>
      </c>
      <c r="G27" s="11">
        <f t="shared" si="0"/>
        <v>533.80530973451323</v>
      </c>
      <c r="H27" s="14">
        <v>26.45</v>
      </c>
      <c r="I27" s="10">
        <f>[1]Dividend!P9</f>
        <v>3.07</v>
      </c>
      <c r="J27" s="4">
        <f>J48</f>
        <v>1.1249</v>
      </c>
      <c r="K27" s="11">
        <f t="shared" si="1"/>
        <v>682.30064894657301</v>
      </c>
      <c r="L27" s="13">
        <f t="shared" si="2"/>
        <v>0.27818258174673005</v>
      </c>
      <c r="M27" s="6" t="s">
        <v>28</v>
      </c>
      <c r="N27" s="7">
        <v>35.36</v>
      </c>
      <c r="O27" s="12">
        <f>(N27+I27)*0.5</f>
        <v>19.215</v>
      </c>
      <c r="P27" s="16">
        <f>O27-F27</f>
        <v>-3.9849999999999994</v>
      </c>
    </row>
    <row r="28" spans="1:16">
      <c r="A28" s="1" t="s">
        <v>64</v>
      </c>
      <c r="B28" s="4"/>
      <c r="C28" s="5"/>
      <c r="D28" s="4"/>
      <c r="E28" s="20"/>
      <c r="F28" s="4"/>
      <c r="G28" s="11"/>
      <c r="H28" s="14"/>
      <c r="I28" s="4"/>
      <c r="J28" s="4"/>
      <c r="K28" s="11"/>
      <c r="L28" s="13"/>
      <c r="M28" s="6"/>
      <c r="N28" s="7"/>
      <c r="O28" s="12">
        <f t="shared" ref="O28:O31" si="4">(N28+I28)*0.33</f>
        <v>0</v>
      </c>
      <c r="P28" s="19">
        <f t="shared" si="3"/>
        <v>0</v>
      </c>
    </row>
    <row r="29" spans="1:16">
      <c r="A29" s="4" t="s">
        <v>65</v>
      </c>
      <c r="B29" s="4" t="s">
        <v>66</v>
      </c>
      <c r="C29" s="5">
        <v>43874</v>
      </c>
      <c r="D29" s="4">
        <v>600</v>
      </c>
      <c r="E29" s="20">
        <v>1.44</v>
      </c>
      <c r="F29" s="4">
        <v>0.37</v>
      </c>
      <c r="G29" s="11">
        <f t="shared" si="0"/>
        <v>154.16666666666669</v>
      </c>
      <c r="H29" s="14">
        <v>0.31</v>
      </c>
      <c r="I29" s="4">
        <v>0</v>
      </c>
      <c r="J29" s="20">
        <f>J49</f>
        <v>1.53</v>
      </c>
      <c r="K29" s="11">
        <f t="shared" si="1"/>
        <v>121.56862745098039</v>
      </c>
      <c r="L29" s="13">
        <f t="shared" si="2"/>
        <v>-0.21144674085850571</v>
      </c>
      <c r="M29" s="6" t="s">
        <v>24</v>
      </c>
      <c r="N29" s="14">
        <v>0.4</v>
      </c>
      <c r="O29" s="12">
        <f>(N29+I29)*0.33</f>
        <v>0.13200000000000001</v>
      </c>
      <c r="P29" s="16">
        <f t="shared" si="3"/>
        <v>-0.23799999999999999</v>
      </c>
    </row>
    <row r="30" spans="1:16">
      <c r="A30" s="4" t="s">
        <v>67</v>
      </c>
      <c r="B30" s="4" t="s">
        <v>68</v>
      </c>
      <c r="C30" s="5">
        <v>43850</v>
      </c>
      <c r="D30" s="4">
        <v>600</v>
      </c>
      <c r="E30" s="20">
        <v>1.45</v>
      </c>
      <c r="F30" s="4">
        <v>0.36</v>
      </c>
      <c r="G30" s="11">
        <f t="shared" si="0"/>
        <v>148.9655172413793</v>
      </c>
      <c r="H30" s="14">
        <v>0.2</v>
      </c>
      <c r="I30" s="4">
        <v>0</v>
      </c>
      <c r="J30" s="20">
        <f>J49</f>
        <v>1.53</v>
      </c>
      <c r="K30" s="11">
        <f t="shared" si="1"/>
        <v>78.431372549019613</v>
      </c>
      <c r="L30" s="13">
        <f t="shared" si="2"/>
        <v>-0.47349310094408126</v>
      </c>
      <c r="M30" s="6" t="s">
        <v>24</v>
      </c>
      <c r="N30" s="7">
        <v>0.36</v>
      </c>
      <c r="O30" s="12">
        <f t="shared" si="4"/>
        <v>0.1188</v>
      </c>
      <c r="P30" s="16">
        <f t="shared" si="3"/>
        <v>-0.24119999999999997</v>
      </c>
    </row>
    <row r="31" spans="1:16">
      <c r="A31" s="4" t="s">
        <v>69</v>
      </c>
      <c r="B31" s="4" t="s">
        <v>70</v>
      </c>
      <c r="C31" s="5">
        <v>43854</v>
      </c>
      <c r="D31" s="4">
        <v>100</v>
      </c>
      <c r="E31" s="20">
        <v>1.46</v>
      </c>
      <c r="F31" s="4">
        <v>3.71</v>
      </c>
      <c r="G31" s="11">
        <f t="shared" si="0"/>
        <v>254.10958904109589</v>
      </c>
      <c r="H31" s="14">
        <v>3.83</v>
      </c>
      <c r="I31" s="4">
        <v>0</v>
      </c>
      <c r="J31" s="20">
        <f>J49</f>
        <v>1.53</v>
      </c>
      <c r="K31" s="11">
        <f t="shared" si="1"/>
        <v>250.32679738562092</v>
      </c>
      <c r="L31" s="13">
        <f t="shared" si="2"/>
        <v>-1.4886457727745151E-2</v>
      </c>
      <c r="M31" s="6" t="s">
        <v>24</v>
      </c>
      <c r="N31" s="7">
        <v>3.71</v>
      </c>
      <c r="O31" s="12">
        <f t="shared" si="4"/>
        <v>1.2242999999999999</v>
      </c>
      <c r="P31" s="16">
        <f t="shared" si="3"/>
        <v>-2.4857</v>
      </c>
    </row>
    <row r="32" spans="1:16">
      <c r="A32" s="1" t="s">
        <v>71</v>
      </c>
      <c r="B32" s="4"/>
      <c r="C32" s="5"/>
      <c r="D32" s="4"/>
      <c r="E32" s="4"/>
      <c r="F32" s="4"/>
      <c r="G32" s="11"/>
      <c r="H32" s="7"/>
      <c r="I32" s="4"/>
      <c r="J32" s="4"/>
      <c r="K32" s="11"/>
      <c r="L32" s="13"/>
      <c r="M32" s="6"/>
      <c r="N32" s="7"/>
      <c r="O32" s="12"/>
      <c r="P32" s="6"/>
    </row>
    <row r="33" spans="1:16">
      <c r="A33" s="4" t="s">
        <v>72</v>
      </c>
      <c r="B33" s="4" t="s">
        <v>73</v>
      </c>
      <c r="C33" s="5">
        <v>43388</v>
      </c>
      <c r="D33" s="4">
        <v>7</v>
      </c>
      <c r="E33" s="20">
        <v>1.5</v>
      </c>
      <c r="F33" s="10">
        <v>60.6</v>
      </c>
      <c r="G33" s="11">
        <f t="shared" si="0"/>
        <v>282.8</v>
      </c>
      <c r="H33" s="14">
        <v>22.08</v>
      </c>
      <c r="I33" s="4">
        <v>0</v>
      </c>
      <c r="J33" s="20">
        <f>J49</f>
        <v>1.53</v>
      </c>
      <c r="K33" s="11">
        <f t="shared" si="1"/>
        <v>101.01960784313724</v>
      </c>
      <c r="L33" s="13">
        <f t="shared" ref="L33:L40" si="5">(K33-G33)/G33+1</f>
        <v>0.35721219180741592</v>
      </c>
      <c r="M33" s="6"/>
      <c r="N33" s="7"/>
      <c r="O33" s="12"/>
      <c r="P33" s="26" t="s">
        <v>71</v>
      </c>
    </row>
    <row r="34" spans="1:16">
      <c r="A34" s="4" t="s">
        <v>74</v>
      </c>
      <c r="B34" s="4" t="s">
        <v>75</v>
      </c>
      <c r="C34" s="5">
        <v>43521</v>
      </c>
      <c r="D34" s="4">
        <v>10</v>
      </c>
      <c r="E34" s="20">
        <v>1.1399999999999999</v>
      </c>
      <c r="F34" s="17">
        <v>64.64</v>
      </c>
      <c r="G34" s="11">
        <f t="shared" si="0"/>
        <v>567.01754385964909</v>
      </c>
      <c r="H34" s="18">
        <v>92.97</v>
      </c>
      <c r="I34" s="10">
        <f>[1]Dividend!P5</f>
        <v>5.84</v>
      </c>
      <c r="J34" s="4">
        <f>J48</f>
        <v>1.1249</v>
      </c>
      <c r="K34" s="11">
        <f t="shared" si="1"/>
        <v>878.38919015023566</v>
      </c>
      <c r="L34" s="13">
        <f t="shared" si="5"/>
        <v>1.5491393514407004</v>
      </c>
      <c r="M34" s="6"/>
      <c r="N34" s="7"/>
      <c r="O34" s="12"/>
      <c r="P34" s="26" t="s">
        <v>71</v>
      </c>
    </row>
    <row r="35" spans="1:16">
      <c r="A35" s="4" t="s">
        <v>76</v>
      </c>
      <c r="B35" s="4"/>
      <c r="C35" s="5">
        <v>43350</v>
      </c>
      <c r="D35" s="4">
        <v>0.25</v>
      </c>
      <c r="E35" s="20">
        <v>1</v>
      </c>
      <c r="F35" s="4">
        <v>8570.56</v>
      </c>
      <c r="G35" s="11">
        <f t="shared" si="0"/>
        <v>2142.64</v>
      </c>
      <c r="H35" s="7">
        <v>8153.29</v>
      </c>
      <c r="I35" s="4">
        <v>0</v>
      </c>
      <c r="J35" s="20">
        <v>1</v>
      </c>
      <c r="K35" s="11">
        <f t="shared" si="1"/>
        <v>2038.3225</v>
      </c>
      <c r="L35" s="13">
        <f t="shared" si="5"/>
        <v>0.95131356644139942</v>
      </c>
      <c r="M35" s="6"/>
      <c r="N35" s="7"/>
      <c r="O35" s="12"/>
      <c r="P35" s="26" t="s">
        <v>71</v>
      </c>
    </row>
    <row r="36" spans="1:16">
      <c r="A36" s="4" t="s">
        <v>77</v>
      </c>
      <c r="B36" s="4" t="s">
        <v>78</v>
      </c>
      <c r="C36" s="5">
        <v>43140</v>
      </c>
      <c r="D36" s="4">
        <v>20</v>
      </c>
      <c r="E36" s="20">
        <v>1.24</v>
      </c>
      <c r="F36" s="17">
        <v>13.5</v>
      </c>
      <c r="G36" s="11">
        <f t="shared" si="0"/>
        <v>217.74193548387098</v>
      </c>
      <c r="H36" s="18">
        <v>8.17</v>
      </c>
      <c r="I36" s="4">
        <v>0</v>
      </c>
      <c r="J36" s="4">
        <f>J48</f>
        <v>1.1249</v>
      </c>
      <c r="K36" s="11">
        <f t="shared" si="1"/>
        <v>145.25735620944084</v>
      </c>
      <c r="L36" s="13">
        <f t="shared" si="5"/>
        <v>0.66710785814706164</v>
      </c>
      <c r="M36" s="6"/>
      <c r="N36" s="7"/>
      <c r="O36" s="12"/>
      <c r="P36" s="26" t="s">
        <v>71</v>
      </c>
    </row>
    <row r="37" spans="1:16">
      <c r="A37" s="27" t="s">
        <v>79</v>
      </c>
      <c r="B37" s="27" t="s">
        <v>80</v>
      </c>
      <c r="C37" s="28">
        <v>43558</v>
      </c>
      <c r="D37" s="4">
        <v>60</v>
      </c>
      <c r="E37" s="20">
        <v>1.5</v>
      </c>
      <c r="F37" s="29">
        <v>4.9800000000000004</v>
      </c>
      <c r="G37" s="11">
        <f t="shared" si="0"/>
        <v>199.20000000000002</v>
      </c>
      <c r="H37" s="30">
        <v>5.45</v>
      </c>
      <c r="I37" s="4">
        <v>0</v>
      </c>
      <c r="J37" s="20">
        <f>J49</f>
        <v>1.53</v>
      </c>
      <c r="K37" s="11">
        <f t="shared" si="1"/>
        <v>213.72549019607845</v>
      </c>
      <c r="L37" s="13">
        <f t="shared" si="5"/>
        <v>1.0729191274903536</v>
      </c>
      <c r="M37" s="6"/>
      <c r="N37" s="7"/>
      <c r="O37" s="12"/>
      <c r="P37" s="26" t="s">
        <v>71</v>
      </c>
    </row>
    <row r="38" spans="1:16">
      <c r="A38" s="27" t="s">
        <v>33</v>
      </c>
      <c r="B38" s="27" t="s">
        <v>34</v>
      </c>
      <c r="C38" s="28">
        <v>43187</v>
      </c>
      <c r="D38" s="4">
        <v>22</v>
      </c>
      <c r="E38" s="20">
        <v>1.24</v>
      </c>
      <c r="F38" s="29">
        <v>12.22</v>
      </c>
      <c r="G38" s="11">
        <f t="shared" si="0"/>
        <v>216.80645161290326</v>
      </c>
      <c r="H38" s="30">
        <v>9.5</v>
      </c>
      <c r="I38" s="4">
        <v>0</v>
      </c>
      <c r="J38" s="4">
        <f>J48</f>
        <v>1.1249</v>
      </c>
      <c r="K38" s="11">
        <f t="shared" si="1"/>
        <v>185.79429282602899</v>
      </c>
      <c r="L38" s="13">
        <f t="shared" si="5"/>
        <v>0.85695924380403188</v>
      </c>
      <c r="M38" s="6"/>
      <c r="N38" s="7"/>
      <c r="O38" s="12"/>
      <c r="P38" s="26" t="s">
        <v>71</v>
      </c>
    </row>
    <row r="39" spans="1:16">
      <c r="A39" s="4" t="s">
        <v>81</v>
      </c>
      <c r="B39" s="4" t="s">
        <v>82</v>
      </c>
      <c r="C39" s="5">
        <v>43683</v>
      </c>
      <c r="D39" s="4">
        <v>400</v>
      </c>
      <c r="E39" s="20">
        <v>1.49</v>
      </c>
      <c r="F39" s="31">
        <v>0.8</v>
      </c>
      <c r="G39" s="11">
        <f t="shared" si="0"/>
        <v>214.76510067114094</v>
      </c>
      <c r="H39" s="32">
        <v>1.89</v>
      </c>
      <c r="I39" s="4">
        <v>0</v>
      </c>
      <c r="J39" s="20">
        <f>J49</f>
        <v>1.53</v>
      </c>
      <c r="K39" s="11">
        <f t="shared" si="1"/>
        <v>494.11764705882348</v>
      </c>
      <c r="L39" s="13">
        <f t="shared" si="5"/>
        <v>2.3007352941176471</v>
      </c>
      <c r="M39" s="6"/>
      <c r="N39" s="7"/>
      <c r="O39" s="12"/>
      <c r="P39" s="26" t="s">
        <v>71</v>
      </c>
    </row>
    <row r="40" spans="1:16">
      <c r="A40" s="4" t="s">
        <v>83</v>
      </c>
      <c r="B40" s="4" t="s">
        <v>84</v>
      </c>
      <c r="C40" s="5">
        <v>43102</v>
      </c>
      <c r="D40" s="8">
        <v>8</v>
      </c>
      <c r="E40" s="9">
        <v>1.24</v>
      </c>
      <c r="F40" s="10">
        <v>150</v>
      </c>
      <c r="G40" s="11">
        <f>(F40*D40)/E40</f>
        <v>967.74193548387098</v>
      </c>
      <c r="H40" s="10">
        <v>136.78</v>
      </c>
      <c r="I40" s="12">
        <f>[1]Dividend!P3</f>
        <v>2.4500000000000002</v>
      </c>
      <c r="J40" s="9">
        <f>J48</f>
        <v>1.1249</v>
      </c>
      <c r="K40" s="33">
        <f>((H40+I40)/J40)*D40</f>
        <v>990.16801493466073</v>
      </c>
      <c r="L40" s="13">
        <f t="shared" si="5"/>
        <v>1.0231736154324826</v>
      </c>
      <c r="M40" s="6"/>
      <c r="N40" s="14"/>
      <c r="O40" s="12"/>
      <c r="P40" s="26" t="s">
        <v>71</v>
      </c>
    </row>
    <row r="41" spans="1:16">
      <c r="A41" s="4" t="s">
        <v>85</v>
      </c>
      <c r="B41" s="4" t="s">
        <v>86</v>
      </c>
      <c r="C41" s="5">
        <v>43102</v>
      </c>
      <c r="D41" s="8">
        <v>50</v>
      </c>
      <c r="E41" s="9">
        <v>1.24</v>
      </c>
      <c r="F41" s="4">
        <v>5.03</v>
      </c>
      <c r="G41" s="11">
        <f t="shared" ref="G41" si="6">(F41*D41)/E41</f>
        <v>202.82258064516128</v>
      </c>
      <c r="H41" s="10">
        <v>9.5</v>
      </c>
      <c r="I41" s="12">
        <v>0</v>
      </c>
      <c r="J41" s="9">
        <f>J48</f>
        <v>1.1249</v>
      </c>
      <c r="K41" s="34">
        <f>((H41+I41)/J41)*D41</f>
        <v>422.25975642279315</v>
      </c>
      <c r="L41" s="13">
        <f t="shared" ref="L41" si="7">(K41-G41)/G41</f>
        <v>1.0819168905139702</v>
      </c>
      <c r="M41" s="6"/>
      <c r="N41" s="14"/>
      <c r="O41" s="12"/>
      <c r="P41" s="26" t="s">
        <v>71</v>
      </c>
    </row>
    <row r="42" spans="1:16">
      <c r="A42" s="1" t="s">
        <v>87</v>
      </c>
      <c r="B42" s="4"/>
      <c r="C42" s="5"/>
      <c r="D42" s="8"/>
      <c r="E42" s="9"/>
      <c r="F42" s="4"/>
      <c r="G42" s="11"/>
      <c r="H42" s="10"/>
      <c r="I42" s="12"/>
      <c r="J42" s="9"/>
      <c r="L42" s="13"/>
      <c r="M42" s="6"/>
      <c r="N42" s="14"/>
      <c r="O42" s="12"/>
      <c r="P42" s="26"/>
    </row>
    <row r="43" spans="1:16">
      <c r="A43" s="4" t="s">
        <v>88</v>
      </c>
      <c r="B43" s="4" t="s">
        <v>89</v>
      </c>
      <c r="C43" s="5">
        <v>43976</v>
      </c>
      <c r="D43" s="8">
        <v>1</v>
      </c>
      <c r="E43" s="8">
        <v>10000</v>
      </c>
      <c r="F43" s="4">
        <v>1.0994999999999999</v>
      </c>
      <c r="G43" s="11">
        <v>0</v>
      </c>
      <c r="H43" s="20">
        <f>J48</f>
        <v>1.1249</v>
      </c>
      <c r="I43" s="12">
        <v>0</v>
      </c>
      <c r="J43" s="8">
        <v>0</v>
      </c>
      <c r="K43" s="33">
        <f>(F43-H43)*E43</f>
        <v>-254.00000000000088</v>
      </c>
      <c r="L43" s="13"/>
      <c r="M43" s="6"/>
      <c r="N43" s="14"/>
      <c r="O43" s="12"/>
      <c r="P43" s="26"/>
    </row>
    <row r="44" spans="1:16">
      <c r="A44" s="1" t="s">
        <v>90</v>
      </c>
      <c r="B44" s="4"/>
      <c r="C44" s="5"/>
      <c r="D44" s="4"/>
      <c r="E44" s="4"/>
      <c r="F44" s="31"/>
      <c r="G44" s="4"/>
      <c r="H44" s="32"/>
      <c r="I44" s="4"/>
      <c r="J44" s="4"/>
      <c r="K44" s="11"/>
      <c r="L44" s="4"/>
      <c r="M44" s="6"/>
      <c r="N44" s="7"/>
      <c r="O44" s="4"/>
      <c r="P44" s="6"/>
    </row>
    <row r="45" spans="1:16">
      <c r="A45" s="4" t="s">
        <v>85</v>
      </c>
      <c r="B45" s="4" t="s">
        <v>86</v>
      </c>
      <c r="C45" s="5">
        <v>44009</v>
      </c>
      <c r="D45" s="4"/>
      <c r="E45" s="4"/>
      <c r="F45" s="31"/>
      <c r="G45" s="4"/>
      <c r="H45" s="32"/>
      <c r="I45" s="4"/>
      <c r="J45" s="4"/>
      <c r="K45" s="11">
        <v>417</v>
      </c>
      <c r="L45" s="4"/>
      <c r="M45" s="6"/>
      <c r="N45" s="7"/>
      <c r="O45" s="4"/>
      <c r="P45" s="6"/>
    </row>
    <row r="46" spans="1:16">
      <c r="A46" s="4" t="s">
        <v>83</v>
      </c>
      <c r="B46" s="4" t="s">
        <v>84</v>
      </c>
      <c r="C46" s="5">
        <v>43968</v>
      </c>
      <c r="D46" s="8"/>
      <c r="E46" s="9"/>
      <c r="F46" s="4"/>
      <c r="G46" s="23"/>
      <c r="H46" s="10"/>
      <c r="I46" s="12"/>
      <c r="J46" s="9"/>
      <c r="K46" s="11">
        <v>1130</v>
      </c>
      <c r="L46" s="13"/>
      <c r="M46" s="6"/>
      <c r="N46" s="14"/>
      <c r="O46" s="12"/>
      <c r="P46" s="6"/>
    </row>
    <row r="47" spans="1:16">
      <c r="A47" s="4" t="s">
        <v>91</v>
      </c>
      <c r="B47" s="4"/>
      <c r="C47" s="5">
        <v>43974</v>
      </c>
      <c r="D47" s="8"/>
      <c r="E47" s="9"/>
      <c r="F47" s="4"/>
      <c r="G47" s="23"/>
      <c r="H47" s="10"/>
      <c r="I47" s="12"/>
      <c r="J47" s="9"/>
      <c r="K47" s="11">
        <v>-1000</v>
      </c>
      <c r="L47" s="13"/>
      <c r="M47" s="6"/>
      <c r="N47" s="14"/>
      <c r="O47" s="12"/>
      <c r="P47" s="6"/>
    </row>
    <row r="48" spans="1:16">
      <c r="A48" s="4" t="s">
        <v>92</v>
      </c>
      <c r="B48" s="4" t="s">
        <v>89</v>
      </c>
      <c r="C48" s="5"/>
      <c r="D48" s="4"/>
      <c r="E48" s="4"/>
      <c r="F48" s="31"/>
      <c r="G48" s="4"/>
      <c r="H48" s="32"/>
      <c r="I48" s="4"/>
      <c r="J48" s="20">
        <v>1.1249</v>
      </c>
      <c r="K48" s="4"/>
      <c r="L48" s="4"/>
      <c r="M48" s="6"/>
      <c r="N48" s="7"/>
      <c r="O48" s="4"/>
      <c r="P48" s="6"/>
    </row>
    <row r="49" spans="1:16">
      <c r="A49" s="4" t="s">
        <v>93</v>
      </c>
      <c r="B49" s="4" t="s">
        <v>94</v>
      </c>
      <c r="C49" s="4"/>
      <c r="D49" s="4"/>
      <c r="E49" s="4"/>
      <c r="F49" s="4"/>
      <c r="G49" s="4"/>
      <c r="H49" s="4"/>
      <c r="I49" s="4"/>
      <c r="J49" s="20">
        <v>1.53</v>
      </c>
      <c r="K49" s="4"/>
      <c r="L49" s="4"/>
      <c r="M49" s="6"/>
      <c r="N49" s="7"/>
      <c r="O49" s="4"/>
      <c r="P49" s="6"/>
    </row>
    <row r="50" spans="1:16">
      <c r="A50" s="4"/>
      <c r="B50" s="4"/>
      <c r="C50" s="4"/>
      <c r="D50" s="4"/>
      <c r="E50" s="4"/>
      <c r="F50" s="4"/>
      <c r="G50" s="4"/>
      <c r="H50" s="4"/>
      <c r="I50" s="4"/>
      <c r="J50" s="20"/>
      <c r="K50" s="4"/>
      <c r="L50" s="4"/>
      <c r="M50" s="6"/>
      <c r="N50" s="7"/>
      <c r="O50" s="4"/>
      <c r="P50" s="6"/>
    </row>
    <row r="51" spans="1:16">
      <c r="A51" s="35" t="s">
        <v>95</v>
      </c>
      <c r="B51" s="35"/>
      <c r="C51" s="35"/>
      <c r="D51" s="35"/>
      <c r="E51" s="36">
        <f>SUM(G3:G40)</f>
        <v>21472.628790224189</v>
      </c>
      <c r="F51" s="4"/>
      <c r="G51" s="35" t="s">
        <v>96</v>
      </c>
      <c r="H51" s="35"/>
      <c r="I51" s="35"/>
      <c r="J51" s="35"/>
      <c r="K51" s="37">
        <f>SUM(K3:K49)</f>
        <v>26883.589874401321</v>
      </c>
      <c r="L51" s="4"/>
      <c r="M51" s="38" t="s">
        <v>97</v>
      </c>
      <c r="N51" s="39"/>
      <c r="O51" s="40"/>
      <c r="P51" s="41">
        <f>(E52-E51)/E52</f>
        <v>0.14109484839103242</v>
      </c>
    </row>
    <row r="52" spans="1:16">
      <c r="A52" s="35" t="s">
        <v>98</v>
      </c>
      <c r="B52" s="35"/>
      <c r="C52" s="35"/>
      <c r="D52" s="35"/>
      <c r="E52" s="36">
        <v>25000</v>
      </c>
      <c r="F52" s="4"/>
      <c r="G52" s="38" t="s">
        <v>99</v>
      </c>
      <c r="H52" s="39"/>
      <c r="I52" s="39"/>
      <c r="J52" s="40"/>
      <c r="K52" s="42">
        <f>K51-E51</f>
        <v>5410.9610841771319</v>
      </c>
      <c r="L52" s="4"/>
      <c r="M52" s="38"/>
      <c r="N52" s="39"/>
      <c r="O52" s="40"/>
      <c r="P52" s="43"/>
    </row>
    <row r="53" spans="1:16">
      <c r="A53" s="35" t="s">
        <v>100</v>
      </c>
      <c r="B53" s="35"/>
      <c r="C53" s="35"/>
      <c r="D53" s="35"/>
      <c r="E53" s="36">
        <f>E52-E51+K52</f>
        <v>8938.3322939529426</v>
      </c>
      <c r="F53" s="4"/>
      <c r="G53" s="35" t="s">
        <v>101</v>
      </c>
      <c r="H53" s="35"/>
      <c r="I53" s="35"/>
      <c r="J53" s="35"/>
      <c r="K53" s="44">
        <f>E53/E52</f>
        <v>0.35753329175811771</v>
      </c>
      <c r="L53" s="23"/>
      <c r="M53" s="38"/>
      <c r="N53" s="39"/>
      <c r="O53" s="40"/>
      <c r="P53" s="43"/>
    </row>
    <row r="54" spans="1:16">
      <c r="A54" s="45"/>
      <c r="B54" s="46"/>
      <c r="C54" s="46"/>
      <c r="D54" s="47"/>
      <c r="E54" s="4"/>
      <c r="F54" s="4"/>
      <c r="G54" s="45"/>
      <c r="H54" s="46"/>
      <c r="I54" s="46"/>
      <c r="J54" s="47"/>
      <c r="K54" s="4"/>
      <c r="L54" s="4"/>
      <c r="M54" s="45"/>
      <c r="N54" s="46"/>
      <c r="O54" s="47"/>
      <c r="P54" s="6"/>
    </row>
    <row r="55" spans="1:16">
      <c r="A55" s="1" t="s">
        <v>102</v>
      </c>
      <c r="B55" s="1" t="s">
        <v>1</v>
      </c>
      <c r="C55" s="1" t="s">
        <v>103</v>
      </c>
      <c r="D55" s="1" t="s">
        <v>3</v>
      </c>
      <c r="E55" s="1" t="s">
        <v>104</v>
      </c>
      <c r="F55" s="1" t="s">
        <v>105</v>
      </c>
      <c r="G55" s="1" t="s">
        <v>106</v>
      </c>
      <c r="H55" s="3" t="s">
        <v>107</v>
      </c>
      <c r="I55" s="3" t="s">
        <v>108</v>
      </c>
      <c r="J55" s="48" t="s">
        <v>109</v>
      </c>
      <c r="K55" s="38" t="s">
        <v>110</v>
      </c>
      <c r="L55" s="39"/>
      <c r="M55" s="39"/>
      <c r="N55" s="39"/>
      <c r="O55" s="39"/>
      <c r="P55" s="40"/>
    </row>
    <row r="56" spans="1:16">
      <c r="A56" s="4" t="s">
        <v>111</v>
      </c>
      <c r="B56" s="4" t="s">
        <v>112</v>
      </c>
      <c r="C56" s="5">
        <v>43975</v>
      </c>
      <c r="D56" s="4">
        <v>20</v>
      </c>
      <c r="E56" s="25">
        <v>1.0900000000000001</v>
      </c>
      <c r="F56" s="7">
        <v>35</v>
      </c>
      <c r="G56" s="23">
        <f>(F56*D56)/E56</f>
        <v>642.20183486238523</v>
      </c>
      <c r="H56" s="6" t="s">
        <v>113</v>
      </c>
      <c r="I56" s="49">
        <v>9.6000000000000002E-2</v>
      </c>
      <c r="J56" s="50" t="s">
        <v>114</v>
      </c>
      <c r="K56" s="51" t="s">
        <v>115</v>
      </c>
      <c r="L56" s="52"/>
      <c r="M56" s="52"/>
      <c r="N56" s="52"/>
      <c r="O56" s="52"/>
      <c r="P56" s="53"/>
    </row>
    <row r="57" spans="1:16">
      <c r="A57" s="4"/>
      <c r="B57" s="4"/>
      <c r="C57" s="5"/>
      <c r="D57" s="4"/>
      <c r="E57" s="25"/>
      <c r="F57" s="7"/>
      <c r="G57" s="23"/>
      <c r="H57" s="6"/>
      <c r="I57" s="4"/>
      <c r="J57" s="50"/>
      <c r="K57" s="51"/>
      <c r="L57" s="52"/>
      <c r="M57" s="52"/>
      <c r="N57" s="52"/>
      <c r="O57" s="52"/>
      <c r="P57" s="53"/>
    </row>
  </sheetData>
  <mergeCells count="15">
    <mergeCell ref="K55:P55"/>
    <mergeCell ref="K56:P56"/>
    <mergeCell ref="K57:P57"/>
    <mergeCell ref="A53:D53"/>
    <mergeCell ref="G53:J53"/>
    <mergeCell ref="M53:O53"/>
    <mergeCell ref="A54:D54"/>
    <mergeCell ref="G54:J54"/>
    <mergeCell ref="M54:O54"/>
    <mergeCell ref="A51:D51"/>
    <mergeCell ref="G51:J51"/>
    <mergeCell ref="M51:O51"/>
    <mergeCell ref="A52:D52"/>
    <mergeCell ref="G52:J52"/>
    <mergeCell ref="M52:O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2020-07-04T07:01:45Z</dcterms:created>
  <dcterms:modified xsi:type="dcterms:W3CDTF">2020-07-04T07:03:15Z</dcterms:modified>
</cp:coreProperties>
</file>