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lder/Desktop/"/>
    </mc:Choice>
  </mc:AlternateContent>
  <xr:revisionPtr revIDLastSave="0" documentId="8_{2D292115-6FCD-9F40-9977-9FF6A93896A1}" xr6:coauthVersionLast="46" xr6:coauthVersionMax="46" xr10:uidLastSave="{00000000-0000-0000-0000-000000000000}"/>
  <bookViews>
    <workbookView xWindow="480" yWindow="1000" windowWidth="25040" windowHeight="14420" xr2:uid="{213C15B9-53BD-C44A-A52B-F64F814774CE}"/>
  </bookViews>
  <sheets>
    <sheet name="Blad1" sheetId="1" r:id="rId1"/>
  </sheets>
  <externalReferences>
    <externalReference r:id="rId2"/>
  </externalReferenc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0" i="1" l="1"/>
  <c r="E150" i="1"/>
  <c r="J145" i="1"/>
  <c r="J144" i="1"/>
  <c r="J87" i="1" s="1"/>
  <c r="K87" i="1" s="1"/>
  <c r="L87" i="1" s="1"/>
  <c r="J143" i="1"/>
  <c r="J67" i="1" s="1"/>
  <c r="K67" i="1" s="1"/>
  <c r="L67" i="1" s="1"/>
  <c r="K97" i="1"/>
  <c r="L97" i="1" s="1"/>
  <c r="G97" i="1"/>
  <c r="J96" i="1"/>
  <c r="H96" i="1"/>
  <c r="K96" i="1" s="1"/>
  <c r="L96" i="1" s="1"/>
  <c r="G96" i="1"/>
  <c r="K95" i="1"/>
  <c r="L95" i="1" s="1"/>
  <c r="H95" i="1"/>
  <c r="G95" i="1"/>
  <c r="K94" i="1"/>
  <c r="L94" i="1" s="1"/>
  <c r="H94" i="1"/>
  <c r="G94" i="1"/>
  <c r="K93" i="1"/>
  <c r="L93" i="1" s="1"/>
  <c r="G93" i="1"/>
  <c r="H92" i="1"/>
  <c r="G92" i="1"/>
  <c r="M91" i="1"/>
  <c r="J91" i="1"/>
  <c r="K91" i="1" s="1"/>
  <c r="L91" i="1" s="1"/>
  <c r="H91" i="1"/>
  <c r="G91" i="1"/>
  <c r="K90" i="1"/>
  <c r="L90" i="1" s="1"/>
  <c r="H90" i="1"/>
  <c r="G90" i="1"/>
  <c r="K89" i="1"/>
  <c r="L89" i="1" s="1"/>
  <c r="G89" i="1"/>
  <c r="J88" i="1"/>
  <c r="K88" i="1" s="1"/>
  <c r="L88" i="1" s="1"/>
  <c r="H88" i="1"/>
  <c r="G88" i="1"/>
  <c r="H87" i="1"/>
  <c r="G87" i="1"/>
  <c r="L86" i="1"/>
  <c r="K86" i="1"/>
  <c r="G86" i="1"/>
  <c r="K85" i="1"/>
  <c r="L85" i="1" s="1"/>
  <c r="G85" i="1"/>
  <c r="K84" i="1"/>
  <c r="G84" i="1"/>
  <c r="L84" i="1" s="1"/>
  <c r="M83" i="1"/>
  <c r="G83" i="1"/>
  <c r="K82" i="1"/>
  <c r="G82" i="1"/>
  <c r="L82" i="1" s="1"/>
  <c r="K81" i="1"/>
  <c r="L81" i="1" s="1"/>
  <c r="G81" i="1"/>
  <c r="M80" i="1"/>
  <c r="J80" i="1"/>
  <c r="I80" i="1"/>
  <c r="K80" i="1" s="1"/>
  <c r="L80" i="1" s="1"/>
  <c r="H80" i="1"/>
  <c r="G80" i="1"/>
  <c r="M79" i="1"/>
  <c r="J79" i="1"/>
  <c r="H79" i="1"/>
  <c r="K79" i="1" s="1"/>
  <c r="L79" i="1" s="1"/>
  <c r="G79" i="1"/>
  <c r="K78" i="1"/>
  <c r="L78" i="1" s="1"/>
  <c r="G78" i="1"/>
  <c r="M77" i="1"/>
  <c r="H77" i="1"/>
  <c r="G77" i="1"/>
  <c r="H76" i="1"/>
  <c r="K76" i="1" s="1"/>
  <c r="L76" i="1" s="1"/>
  <c r="G76" i="1"/>
  <c r="M75" i="1"/>
  <c r="K75" i="1"/>
  <c r="L75" i="1" s="1"/>
  <c r="J75" i="1"/>
  <c r="I75" i="1"/>
  <c r="H75" i="1"/>
  <c r="G75" i="1"/>
  <c r="M74" i="1"/>
  <c r="J74" i="1"/>
  <c r="K74" i="1" s="1"/>
  <c r="L74" i="1" s="1"/>
  <c r="H74" i="1"/>
  <c r="G74" i="1"/>
  <c r="M73" i="1"/>
  <c r="I73" i="1"/>
  <c r="H73" i="1"/>
  <c r="G73" i="1"/>
  <c r="M72" i="1"/>
  <c r="K72" i="1"/>
  <c r="L72" i="1" s="1"/>
  <c r="J72" i="1"/>
  <c r="H72" i="1"/>
  <c r="G72" i="1"/>
  <c r="M71" i="1"/>
  <c r="H71" i="1"/>
  <c r="G71" i="1"/>
  <c r="M70" i="1"/>
  <c r="K70" i="1"/>
  <c r="L70" i="1" s="1"/>
  <c r="J70" i="1"/>
  <c r="H70" i="1"/>
  <c r="G70" i="1"/>
  <c r="M69" i="1"/>
  <c r="H69" i="1"/>
  <c r="G69" i="1"/>
  <c r="H68" i="1"/>
  <c r="K68" i="1" s="1"/>
  <c r="L68" i="1" s="1"/>
  <c r="G68" i="1"/>
  <c r="M67" i="1"/>
  <c r="I67" i="1"/>
  <c r="H67" i="1"/>
  <c r="G67" i="1"/>
  <c r="K65" i="1"/>
  <c r="M65" i="1" s="1"/>
  <c r="G65" i="1"/>
  <c r="L65" i="1" s="1"/>
  <c r="K64" i="1"/>
  <c r="M64" i="1" s="1"/>
  <c r="G64" i="1"/>
  <c r="L64" i="1" s="1"/>
  <c r="K63" i="1"/>
  <c r="M63" i="1" s="1"/>
  <c r="G63" i="1"/>
  <c r="L63" i="1" s="1"/>
  <c r="K62" i="1"/>
  <c r="M62" i="1" s="1"/>
  <c r="G62" i="1"/>
  <c r="L62" i="1" s="1"/>
  <c r="K61" i="1"/>
  <c r="M61" i="1" s="1"/>
  <c r="G61" i="1"/>
  <c r="L61" i="1" s="1"/>
  <c r="K60" i="1"/>
  <c r="M60" i="1" s="1"/>
  <c r="G60" i="1"/>
  <c r="L60" i="1" s="1"/>
  <c r="K59" i="1"/>
  <c r="M59" i="1" s="1"/>
  <c r="G59" i="1"/>
  <c r="L59" i="1" s="1"/>
  <c r="K58" i="1"/>
  <c r="M58" i="1" s="1"/>
  <c r="G58" i="1"/>
  <c r="L58" i="1" s="1"/>
  <c r="K57" i="1"/>
  <c r="M57" i="1" s="1"/>
  <c r="G57" i="1"/>
  <c r="L57" i="1" s="1"/>
  <c r="K56" i="1"/>
  <c r="M56" i="1" s="1"/>
  <c r="G56" i="1"/>
  <c r="L56" i="1" s="1"/>
  <c r="J54" i="1"/>
  <c r="K54" i="1" s="1"/>
  <c r="G54" i="1"/>
  <c r="G53" i="1"/>
  <c r="G52" i="1"/>
  <c r="P50" i="1"/>
  <c r="O50" i="1"/>
  <c r="K50" i="1"/>
  <c r="M50" i="1" s="1"/>
  <c r="J50" i="1"/>
  <c r="H50" i="1"/>
  <c r="G50" i="1"/>
  <c r="P49" i="1"/>
  <c r="O49" i="1"/>
  <c r="K49" i="1"/>
  <c r="M49" i="1" s="1"/>
  <c r="J49" i="1"/>
  <c r="H49" i="1"/>
  <c r="G49" i="1"/>
  <c r="P47" i="1"/>
  <c r="O47" i="1"/>
  <c r="K47" i="1"/>
  <c r="M47" i="1" s="1"/>
  <c r="J47" i="1"/>
  <c r="H47" i="1"/>
  <c r="G47" i="1"/>
  <c r="P46" i="1"/>
  <c r="O46" i="1"/>
  <c r="K46" i="1"/>
  <c r="M46" i="1" s="1"/>
  <c r="J46" i="1"/>
  <c r="H46" i="1"/>
  <c r="G46" i="1"/>
  <c r="P45" i="1"/>
  <c r="O45" i="1"/>
  <c r="K45" i="1"/>
  <c r="M45" i="1" s="1"/>
  <c r="J45" i="1"/>
  <c r="H45" i="1"/>
  <c r="G45" i="1"/>
  <c r="P44" i="1"/>
  <c r="O44" i="1"/>
  <c r="K44" i="1"/>
  <c r="M44" i="1" s="1"/>
  <c r="J44" i="1"/>
  <c r="H44" i="1"/>
  <c r="G44" i="1"/>
  <c r="P43" i="1"/>
  <c r="O43" i="1"/>
  <c r="K43" i="1"/>
  <c r="M43" i="1" s="1"/>
  <c r="J43" i="1"/>
  <c r="H43" i="1"/>
  <c r="G43" i="1"/>
  <c r="P42" i="1"/>
  <c r="O42" i="1"/>
  <c r="K42" i="1"/>
  <c r="M42" i="1" s="1"/>
  <c r="J42" i="1"/>
  <c r="H42" i="1"/>
  <c r="G42" i="1"/>
  <c r="P41" i="1"/>
  <c r="O41" i="1"/>
  <c r="K41" i="1"/>
  <c r="M41" i="1" s="1"/>
  <c r="J41" i="1"/>
  <c r="H41" i="1"/>
  <c r="G41" i="1"/>
  <c r="P40" i="1"/>
  <c r="O40" i="1"/>
  <c r="H40" i="1"/>
  <c r="G40" i="1"/>
  <c r="P39" i="1"/>
  <c r="O39" i="1"/>
  <c r="K39" i="1"/>
  <c r="M39" i="1" s="1"/>
  <c r="J39" i="1"/>
  <c r="H39" i="1"/>
  <c r="G39" i="1"/>
  <c r="P38" i="1"/>
  <c r="O38" i="1"/>
  <c r="K38" i="1"/>
  <c r="M38" i="1" s="1"/>
  <c r="J38" i="1"/>
  <c r="H38" i="1"/>
  <c r="G38" i="1"/>
  <c r="P37" i="1"/>
  <c r="O37" i="1"/>
  <c r="K37" i="1"/>
  <c r="M37" i="1" s="1"/>
  <c r="J37" i="1"/>
  <c r="H37" i="1"/>
  <c r="G37" i="1"/>
  <c r="I35" i="1"/>
  <c r="O35" i="1" s="1"/>
  <c r="P35" i="1" s="1"/>
  <c r="H35" i="1"/>
  <c r="G35" i="1"/>
  <c r="O34" i="1"/>
  <c r="P34" i="1" s="1"/>
  <c r="I34" i="1"/>
  <c r="H34" i="1"/>
  <c r="G34" i="1"/>
  <c r="I33" i="1"/>
  <c r="H33" i="1"/>
  <c r="G33" i="1"/>
  <c r="O32" i="1"/>
  <c r="P32" i="1" s="1"/>
  <c r="J32" i="1"/>
  <c r="I32" i="1"/>
  <c r="H32" i="1"/>
  <c r="K32" i="1" s="1"/>
  <c r="G32" i="1"/>
  <c r="P30" i="1"/>
  <c r="O30" i="1"/>
  <c r="K30" i="1"/>
  <c r="M30" i="1" s="1"/>
  <c r="J30" i="1"/>
  <c r="H30" i="1"/>
  <c r="G30" i="1"/>
  <c r="P29" i="1"/>
  <c r="O29" i="1"/>
  <c r="K29" i="1"/>
  <c r="M29" i="1" s="1"/>
  <c r="J29" i="1"/>
  <c r="H29" i="1"/>
  <c r="G29" i="1"/>
  <c r="P28" i="1"/>
  <c r="O28" i="1"/>
  <c r="K28" i="1"/>
  <c r="M28" i="1" s="1"/>
  <c r="J28" i="1"/>
  <c r="H28" i="1"/>
  <c r="G28" i="1"/>
  <c r="P27" i="1"/>
  <c r="O27" i="1"/>
  <c r="K27" i="1"/>
  <c r="M27" i="1" s="1"/>
  <c r="J27" i="1"/>
  <c r="H27" i="1"/>
  <c r="G27" i="1"/>
  <c r="P26" i="1"/>
  <c r="O26" i="1"/>
  <c r="K26" i="1"/>
  <c r="M26" i="1" s="1"/>
  <c r="J26" i="1"/>
  <c r="H26" i="1"/>
  <c r="G26" i="1"/>
  <c r="P25" i="1"/>
  <c r="O25" i="1"/>
  <c r="K25" i="1"/>
  <c r="M25" i="1" s="1"/>
  <c r="J25" i="1"/>
  <c r="H25" i="1"/>
  <c r="G25" i="1"/>
  <c r="P24" i="1"/>
  <c r="O24" i="1"/>
  <c r="K24" i="1"/>
  <c r="M24" i="1" s="1"/>
  <c r="J24" i="1"/>
  <c r="H24" i="1"/>
  <c r="G24" i="1"/>
  <c r="P23" i="1"/>
  <c r="O23" i="1"/>
  <c r="K23" i="1"/>
  <c r="M23" i="1" s="1"/>
  <c r="J23" i="1"/>
  <c r="H23" i="1"/>
  <c r="G23" i="1"/>
  <c r="P22" i="1"/>
  <c r="O22" i="1"/>
  <c r="K22" i="1"/>
  <c r="M22" i="1" s="1"/>
  <c r="J22" i="1"/>
  <c r="H22" i="1"/>
  <c r="G22" i="1"/>
  <c r="P21" i="1"/>
  <c r="O21" i="1"/>
  <c r="K21" i="1"/>
  <c r="M21" i="1" s="1"/>
  <c r="J21" i="1"/>
  <c r="H21" i="1"/>
  <c r="G21" i="1"/>
  <c r="P20" i="1"/>
  <c r="O20" i="1"/>
  <c r="K20" i="1"/>
  <c r="M20" i="1" s="1"/>
  <c r="J20" i="1"/>
  <c r="H20" i="1"/>
  <c r="G20" i="1"/>
  <c r="P17" i="1"/>
  <c r="O17" i="1"/>
  <c r="H17" i="1"/>
  <c r="G17" i="1"/>
  <c r="P16" i="1"/>
  <c r="O16" i="1"/>
  <c r="H16" i="1"/>
  <c r="G16" i="1"/>
  <c r="P15" i="1"/>
  <c r="O15" i="1"/>
  <c r="K15" i="1"/>
  <c r="M15" i="1" s="1"/>
  <c r="J15" i="1"/>
  <c r="H15" i="1"/>
  <c r="G15" i="1"/>
  <c r="P14" i="1"/>
  <c r="O14" i="1"/>
  <c r="H14" i="1"/>
  <c r="G14" i="1"/>
  <c r="P13" i="1"/>
  <c r="O13" i="1"/>
  <c r="H13" i="1"/>
  <c r="G13" i="1"/>
  <c r="P12" i="1"/>
  <c r="O12" i="1"/>
  <c r="K12" i="1"/>
  <c r="M12" i="1" s="1"/>
  <c r="J12" i="1"/>
  <c r="H12" i="1"/>
  <c r="G12" i="1"/>
  <c r="P11" i="1"/>
  <c r="O11" i="1"/>
  <c r="H11" i="1"/>
  <c r="G11" i="1"/>
  <c r="P10" i="1"/>
  <c r="O10" i="1"/>
  <c r="K10" i="1"/>
  <c r="M10" i="1" s="1"/>
  <c r="J10" i="1"/>
  <c r="H10" i="1"/>
  <c r="G10" i="1"/>
  <c r="P9" i="1"/>
  <c r="O9" i="1"/>
  <c r="K9" i="1"/>
  <c r="M9" i="1" s="1"/>
  <c r="J9" i="1"/>
  <c r="H9" i="1"/>
  <c r="G9" i="1"/>
  <c r="I8" i="1"/>
  <c r="O8" i="1" s="1"/>
  <c r="P8" i="1" s="1"/>
  <c r="H8" i="1"/>
  <c r="G8" i="1"/>
  <c r="O7" i="1"/>
  <c r="P7" i="1" s="1"/>
  <c r="J7" i="1"/>
  <c r="K7" i="1" s="1"/>
  <c r="H7" i="1"/>
  <c r="G7" i="1"/>
  <c r="O6" i="1"/>
  <c r="P6" i="1" s="1"/>
  <c r="J6" i="1"/>
  <c r="K6" i="1" s="1"/>
  <c r="H6" i="1"/>
  <c r="G6" i="1"/>
  <c r="O5" i="1"/>
  <c r="P5" i="1" s="1"/>
  <c r="J5" i="1"/>
  <c r="K5" i="1" s="1"/>
  <c r="H5" i="1"/>
  <c r="G5" i="1"/>
  <c r="O4" i="1"/>
  <c r="P4" i="1" s="1"/>
  <c r="J4" i="1"/>
  <c r="K4" i="1" s="1"/>
  <c r="L4" i="1" s="1"/>
  <c r="H4" i="1"/>
  <c r="G4" i="1"/>
  <c r="A1" i="1"/>
  <c r="M54" i="1" l="1"/>
  <c r="L54" i="1"/>
  <c r="K73" i="1"/>
  <c r="L73" i="1" s="1"/>
  <c r="K71" i="1"/>
  <c r="L71" i="1" s="1"/>
  <c r="M5" i="1"/>
  <c r="M4" i="1"/>
  <c r="K33" i="1"/>
  <c r="E148" i="1"/>
  <c r="L5" i="1"/>
  <c r="M6" i="1"/>
  <c r="L6" i="1"/>
  <c r="M7" i="1"/>
  <c r="L7" i="1"/>
  <c r="M32" i="1"/>
  <c r="L32" i="1"/>
  <c r="H83" i="1"/>
  <c r="K83" i="1" s="1"/>
  <c r="L83" i="1" s="1"/>
  <c r="L9" i="1"/>
  <c r="L10" i="1"/>
  <c r="L12" i="1"/>
  <c r="L15" i="1"/>
  <c r="L20" i="1"/>
  <c r="L21" i="1"/>
  <c r="L22" i="1"/>
  <c r="L23" i="1"/>
  <c r="L24" i="1"/>
  <c r="L25" i="1"/>
  <c r="L26" i="1"/>
  <c r="L27" i="1"/>
  <c r="L28" i="1"/>
  <c r="L29" i="1"/>
  <c r="L30" i="1"/>
  <c r="J33" i="1"/>
  <c r="O33" i="1"/>
  <c r="P33" i="1" s="1"/>
  <c r="L37" i="1"/>
  <c r="L38" i="1"/>
  <c r="L39" i="1"/>
  <c r="L41" i="1"/>
  <c r="L42" i="1"/>
  <c r="L43" i="1"/>
  <c r="L44" i="1"/>
  <c r="L45" i="1"/>
  <c r="L46" i="1"/>
  <c r="L47" i="1"/>
  <c r="L49" i="1"/>
  <c r="L50" i="1"/>
  <c r="J69" i="1"/>
  <c r="K69" i="1" s="1"/>
  <c r="L69" i="1" s="1"/>
  <c r="J71" i="1"/>
  <c r="J77" i="1"/>
  <c r="K77" i="1" s="1"/>
  <c r="L77" i="1" s="1"/>
  <c r="P148" i="1"/>
  <c r="P149" i="1" s="1"/>
  <c r="J34" i="1"/>
  <c r="K34" i="1" s="1"/>
  <c r="J52" i="1"/>
  <c r="K52" i="1" s="1"/>
  <c r="J73" i="1"/>
  <c r="J92" i="1"/>
  <c r="K92" i="1" s="1"/>
  <c r="L92" i="1" s="1"/>
  <c r="J8" i="1"/>
  <c r="K8" i="1" s="1"/>
  <c r="J11" i="1"/>
  <c r="K11" i="1" s="1"/>
  <c r="J13" i="1"/>
  <c r="K13" i="1" s="1"/>
  <c r="J14" i="1"/>
  <c r="K14" i="1" s="1"/>
  <c r="J16" i="1"/>
  <c r="K16" i="1" s="1"/>
  <c r="J17" i="1"/>
  <c r="K17" i="1" s="1"/>
  <c r="J35" i="1"/>
  <c r="K35" i="1" s="1"/>
  <c r="J40" i="1"/>
  <c r="K40" i="1" s="1"/>
  <c r="J53" i="1"/>
  <c r="K53" i="1" s="1"/>
  <c r="L34" i="1" l="1"/>
  <c r="M34" i="1"/>
  <c r="M8" i="1"/>
  <c r="L8" i="1"/>
  <c r="M40" i="1"/>
  <c r="L40" i="1"/>
  <c r="M53" i="1"/>
  <c r="L53" i="1"/>
  <c r="M16" i="1"/>
  <c r="L16" i="1"/>
  <c r="L33" i="1"/>
  <c r="M33" i="1"/>
  <c r="M14" i="1"/>
  <c r="L14" i="1"/>
  <c r="K148" i="1"/>
  <c r="K149" i="1" s="1"/>
  <c r="K151" i="1" s="1"/>
  <c r="E151" i="1" s="1"/>
  <c r="M35" i="1"/>
  <c r="L35" i="1"/>
  <c r="M13" i="1"/>
  <c r="L13" i="1"/>
  <c r="M17" i="1"/>
  <c r="L17" i="1"/>
  <c r="M11" i="1"/>
  <c r="L11" i="1"/>
  <c r="M52" i="1"/>
  <c r="L52" i="1"/>
</calcChain>
</file>

<file path=xl/sharedStrings.xml><?xml version="1.0" encoding="utf-8"?>
<sst xmlns="http://schemas.openxmlformats.org/spreadsheetml/2006/main" count="342" uniqueCount="274">
  <si>
    <t>Investment</t>
  </si>
  <si>
    <t>Ticker</t>
  </si>
  <si>
    <t>Buy date</t>
  </si>
  <si>
    <t>Shares</t>
  </si>
  <si>
    <t>exch. rate buy</t>
  </si>
  <si>
    <t>Buy price</t>
  </si>
  <si>
    <t>Euro spent</t>
  </si>
  <si>
    <t>Price now</t>
  </si>
  <si>
    <t>Dividends</t>
  </si>
  <si>
    <t>exch. Rate now</t>
  </si>
  <si>
    <t>Euro now</t>
  </si>
  <si>
    <t>Return%</t>
  </si>
  <si>
    <t>Return€</t>
  </si>
  <si>
    <t>high</t>
  </si>
  <si>
    <t>Stop</t>
  </si>
  <si>
    <t>S.S.I.</t>
  </si>
  <si>
    <t>Edelmetaal  Miners &amp; Royalty's</t>
  </si>
  <si>
    <t>Ascot Resources</t>
  </si>
  <si>
    <t>AOT^</t>
  </si>
  <si>
    <t>Bear Creek Mining</t>
  </si>
  <si>
    <t>BCM^</t>
  </si>
  <si>
    <t>Plato Gold Corp</t>
  </si>
  <si>
    <t>PGC^</t>
  </si>
  <si>
    <t>Sandstorm Gold ltd</t>
  </si>
  <si>
    <t>SAND</t>
  </si>
  <si>
    <t>Wheathon Precious Metals</t>
  </si>
  <si>
    <t>WPM</t>
  </si>
  <si>
    <t>Aurcana Silver Corp</t>
  </si>
  <si>
    <t>AUN</t>
  </si>
  <si>
    <t>VOX Royalty Corp</t>
  </si>
  <si>
    <t>VOX</t>
  </si>
  <si>
    <t>Silvercrest Metals Inc</t>
  </si>
  <si>
    <t>SILV</t>
  </si>
  <si>
    <t>Silver One Resources Inc</t>
  </si>
  <si>
    <t>SVE</t>
  </si>
  <si>
    <t>Sprott Physical Silver Trust</t>
  </si>
  <si>
    <t>PSLV</t>
  </si>
  <si>
    <t>Sprott Physical Platina &amp; Pal Trust</t>
  </si>
  <si>
    <t>SPPP</t>
  </si>
  <si>
    <t>Empress Royalty Corp</t>
  </si>
  <si>
    <t>EMPR</t>
  </si>
  <si>
    <t>Gold Royalty Corp</t>
  </si>
  <si>
    <t>GROY</t>
  </si>
  <si>
    <t>Metalla Royalty Corp</t>
  </si>
  <si>
    <t>MTA</t>
  </si>
  <si>
    <t>Golden eggs basket, max 15 pos.</t>
  </si>
  <si>
    <t xml:space="preserve">1.Tudor Gold Corp </t>
  </si>
  <si>
    <t>TUD^</t>
  </si>
  <si>
    <t>3. Dolly Varden</t>
  </si>
  <si>
    <t>DV</t>
  </si>
  <si>
    <t>4. Karora Resources Inc</t>
  </si>
  <si>
    <t>KRR</t>
  </si>
  <si>
    <t>5. GR silver Mining ltd</t>
  </si>
  <si>
    <t>GRSL</t>
  </si>
  <si>
    <t>7.Silver Viper Minerals</t>
  </si>
  <si>
    <t>VIPR</t>
  </si>
  <si>
    <t>8. Granada Gold Mine Inc</t>
  </si>
  <si>
    <t>GGM</t>
  </si>
  <si>
    <t>11. KORE Mining Ltd</t>
  </si>
  <si>
    <t>KORE</t>
  </si>
  <si>
    <t>12. Fortune Bay Corp</t>
  </si>
  <si>
    <t>FOR</t>
  </si>
  <si>
    <t>13. Brixton Metals Corp</t>
  </si>
  <si>
    <t>BBB</t>
  </si>
  <si>
    <t>15. Reyna Silver Corp</t>
  </si>
  <si>
    <t>RSLV</t>
  </si>
  <si>
    <t>16. Vizsla Resources  Corp</t>
  </si>
  <si>
    <t>VZLA</t>
  </si>
  <si>
    <t>Dividend Income</t>
  </si>
  <si>
    <t>Gamco Global G&amp;Nat res</t>
  </si>
  <si>
    <t>GGN</t>
  </si>
  <si>
    <t>Gamco Nat res, Gold &amp; inc trust</t>
  </si>
  <si>
    <t>GNT</t>
  </si>
  <si>
    <t>Altria</t>
  </si>
  <si>
    <t>MO</t>
  </si>
  <si>
    <t>Reaves Utility Income Fund</t>
  </si>
  <si>
    <t>UTG</t>
  </si>
  <si>
    <t>Uranium</t>
  </si>
  <si>
    <t>4. IsoEnergy Ltd</t>
  </si>
  <si>
    <t>ISO^</t>
  </si>
  <si>
    <t>6. Denison Mines Corp</t>
  </si>
  <si>
    <t>DNN</t>
  </si>
  <si>
    <t>7. Global Atomic</t>
  </si>
  <si>
    <t>GLO</t>
  </si>
  <si>
    <t>8. Energy Fuels</t>
  </si>
  <si>
    <t>UUUU</t>
  </si>
  <si>
    <t>9. Bannerman Resources ltd</t>
  </si>
  <si>
    <t>BMN</t>
  </si>
  <si>
    <t>10. Encore Energy Corp</t>
  </si>
  <si>
    <t>EU</t>
  </si>
  <si>
    <t>11. Paladin Energy Ltd</t>
  </si>
  <si>
    <t>PDN</t>
  </si>
  <si>
    <t>12. Anfield Energy Inc</t>
  </si>
  <si>
    <t>AEC</t>
  </si>
  <si>
    <t>13. Peninsula Energy Inc</t>
  </si>
  <si>
    <t>PEN</t>
  </si>
  <si>
    <t>14. Boss Energy Ltd</t>
  </si>
  <si>
    <t>BOE</t>
  </si>
  <si>
    <t>15. UEX Corporation</t>
  </si>
  <si>
    <t>UEX</t>
  </si>
  <si>
    <t>EV-metals &amp; Base Metals</t>
  </si>
  <si>
    <t>6. Nova Royalty Corp</t>
  </si>
  <si>
    <t>NOVR</t>
  </si>
  <si>
    <t>7. Electric Royalties Ltd</t>
  </si>
  <si>
    <t>ELEC</t>
  </si>
  <si>
    <t>Opties</t>
  </si>
  <si>
    <t>geschreven Put 2022jan $10</t>
  </si>
  <si>
    <t>AG</t>
  </si>
  <si>
    <t>closed</t>
  </si>
  <si>
    <t>geschreven Put 2023jan $7</t>
  </si>
  <si>
    <t>geschreven Put 2023jan $5</t>
  </si>
  <si>
    <t>Crypto's box, max 10 positions</t>
  </si>
  <si>
    <t>11. Band Protocol</t>
  </si>
  <si>
    <t>BAND</t>
  </si>
  <si>
    <t>12. Tezos</t>
  </si>
  <si>
    <t>XTZ</t>
  </si>
  <si>
    <t>13. Numeraire</t>
  </si>
  <si>
    <t>NMR</t>
  </si>
  <si>
    <t>FS</t>
  </si>
  <si>
    <t>14. Uniswap</t>
  </si>
  <si>
    <t>UNI</t>
  </si>
  <si>
    <t>15. Sushiswap</t>
  </si>
  <si>
    <t>SUSHI</t>
  </si>
  <si>
    <t>17. EOS</t>
  </si>
  <si>
    <t>EOS</t>
  </si>
  <si>
    <t>19. Decentraland</t>
  </si>
  <si>
    <t>MANA</t>
  </si>
  <si>
    <t>20. AmpleForth Gov token</t>
  </si>
  <si>
    <t>FORTH</t>
  </si>
  <si>
    <t>21. 1inch</t>
  </si>
  <si>
    <t>1INCH</t>
  </si>
  <si>
    <t>22. Internet computer</t>
  </si>
  <si>
    <t>ICP</t>
  </si>
  <si>
    <t>FGS</t>
  </si>
  <si>
    <t>2. Innovative Industrial Properties</t>
  </si>
  <si>
    <t>IIPR</t>
  </si>
  <si>
    <t>weed</t>
  </si>
  <si>
    <t>3. Bitcoin</t>
  </si>
  <si>
    <t>BTC</t>
  </si>
  <si>
    <t>crypto</t>
  </si>
  <si>
    <t>4. Pretium Resources Inc</t>
  </si>
  <si>
    <t>PVG</t>
  </si>
  <si>
    <t>precious</t>
  </si>
  <si>
    <t>5. New Pacific Metals</t>
  </si>
  <si>
    <t>NUAG^</t>
  </si>
  <si>
    <t>6. First Majestic Silver</t>
  </si>
  <si>
    <t>7. ELY Gold Royalties</t>
  </si>
  <si>
    <t>ELY^</t>
  </si>
  <si>
    <t>8. Franco Nevada</t>
  </si>
  <si>
    <t>FNV</t>
  </si>
  <si>
    <t>9. Sandstorm Gold</t>
  </si>
  <si>
    <t>10. Metella Royalty &amp; Streaming Ltd</t>
  </si>
  <si>
    <t>MTA^%</t>
  </si>
  <si>
    <t>11. Ethereum</t>
  </si>
  <si>
    <t>ETH</t>
  </si>
  <si>
    <t>12.Coeur Mining Inc</t>
  </si>
  <si>
    <t>CDE</t>
  </si>
  <si>
    <t>13. The Graph</t>
  </si>
  <si>
    <t>GRT</t>
  </si>
  <si>
    <t>box</t>
  </si>
  <si>
    <t>15. Defiance Silver Corp</t>
  </si>
  <si>
    <t>DEF</t>
  </si>
  <si>
    <t>basket</t>
  </si>
  <si>
    <t>16. Lundin Mining Corp</t>
  </si>
  <si>
    <t>LUN^</t>
  </si>
  <si>
    <t>battery</t>
  </si>
  <si>
    <t>17. Stellar Lumens</t>
  </si>
  <si>
    <t>XLM</t>
  </si>
  <si>
    <t>18. Algorand</t>
  </si>
  <si>
    <t>ALGO</t>
  </si>
  <si>
    <t>19. First Majestic Silver</t>
  </si>
  <si>
    <t>Precious</t>
  </si>
  <si>
    <t>20. Compound</t>
  </si>
  <si>
    <t>COMP</t>
  </si>
  <si>
    <t>21. Chainlink</t>
  </si>
  <si>
    <t>LINK</t>
  </si>
  <si>
    <t>22. Cosmos</t>
  </si>
  <si>
    <t>ATOM</t>
  </si>
  <si>
    <t>23. Nexgen Energy</t>
  </si>
  <si>
    <t>NXE^</t>
  </si>
  <si>
    <t xml:space="preserve">bullet </t>
  </si>
  <si>
    <t>24. Uranium Royalty Corp</t>
  </si>
  <si>
    <t>URC^</t>
  </si>
  <si>
    <t>25. Dash</t>
  </si>
  <si>
    <t>DASH</t>
  </si>
  <si>
    <t>26. Ur-Energy Inc</t>
  </si>
  <si>
    <t>URG</t>
  </si>
  <si>
    <t>27. Ivanhoe Mines</t>
  </si>
  <si>
    <t>IVN</t>
  </si>
  <si>
    <t>28. Uranium Energy Corp</t>
  </si>
  <si>
    <t>UEC</t>
  </si>
  <si>
    <t>29. Filecoin</t>
  </si>
  <si>
    <t>FIL</t>
  </si>
  <si>
    <t>30. Litecoin</t>
  </si>
  <si>
    <t>LTC</t>
  </si>
  <si>
    <t>31. Bitcoin Cash</t>
  </si>
  <si>
    <t>BCH</t>
  </si>
  <si>
    <t>32. Atico Mining Corp</t>
  </si>
  <si>
    <t>ATY^</t>
  </si>
  <si>
    <t>33. Cardano</t>
  </si>
  <si>
    <t>ADA</t>
  </si>
  <si>
    <t>Resultaat 2018-20</t>
  </si>
  <si>
    <t>Defiance Silver Corp</t>
  </si>
  <si>
    <t>Lundin Mining Corp</t>
  </si>
  <si>
    <t>LUN</t>
  </si>
  <si>
    <t>Stellar Lumens</t>
  </si>
  <si>
    <t>Algorand</t>
  </si>
  <si>
    <t>First Majestic Silver</t>
  </si>
  <si>
    <t>Compound</t>
  </si>
  <si>
    <t xml:space="preserve">gekochte Call 2021 $38 </t>
  </si>
  <si>
    <t>GDX</t>
  </si>
  <si>
    <t>Chainlink</t>
  </si>
  <si>
    <t>Cosmos</t>
  </si>
  <si>
    <t>Nexgen Energy</t>
  </si>
  <si>
    <t>XRP</t>
  </si>
  <si>
    <t>Uranium Royalty Corp</t>
  </si>
  <si>
    <t>Bitcoin</t>
  </si>
  <si>
    <t>Ethereum</t>
  </si>
  <si>
    <t>American Manganese Inc</t>
  </si>
  <si>
    <t>AMY</t>
  </si>
  <si>
    <t>Dash</t>
  </si>
  <si>
    <t>Canopy Growth Compagny</t>
  </si>
  <si>
    <t>WEED^</t>
  </si>
  <si>
    <t>Ur-Eenergy Inc</t>
  </si>
  <si>
    <t xml:space="preserve">Ivanhoe Mines </t>
  </si>
  <si>
    <t>Idaho Champion GM Cananada</t>
  </si>
  <si>
    <t>ITKO</t>
  </si>
  <si>
    <t>Norilsk Nikkel</t>
  </si>
  <si>
    <t>NILSY</t>
  </si>
  <si>
    <t>FPX Nickel Corp</t>
  </si>
  <si>
    <t>FPX</t>
  </si>
  <si>
    <t>Uranium Energy Corp</t>
  </si>
  <si>
    <t>Filecoin</t>
  </si>
  <si>
    <t>Fil</t>
  </si>
  <si>
    <t xml:space="preserve">Numeraire </t>
  </si>
  <si>
    <t>Silvercrest Metals</t>
  </si>
  <si>
    <t>Litecoin</t>
  </si>
  <si>
    <t>Bitcoin Cash</t>
  </si>
  <si>
    <t>BHC</t>
  </si>
  <si>
    <t>Atico Mining Corp</t>
  </si>
  <si>
    <t>ATY</t>
  </si>
  <si>
    <t>Contact Gold</t>
  </si>
  <si>
    <t>C</t>
  </si>
  <si>
    <t>Cardana</t>
  </si>
  <si>
    <t>Aftermath Silver</t>
  </si>
  <si>
    <t>AAG</t>
  </si>
  <si>
    <t>Silver One resources</t>
  </si>
  <si>
    <t>Silver Elephant Mining Corp</t>
  </si>
  <si>
    <t>ELEF^</t>
  </si>
  <si>
    <t>Pan American Silver</t>
  </si>
  <si>
    <t>PAAS</t>
  </si>
  <si>
    <t>Amerikaanse dollar</t>
  </si>
  <si>
    <t>$</t>
  </si>
  <si>
    <t>Canadese dollar</t>
  </si>
  <si>
    <t>CAD</t>
  </si>
  <si>
    <t>Australische dollar</t>
  </si>
  <si>
    <t>AUD</t>
  </si>
  <si>
    <t>CASH SPENT ON STOCKS</t>
  </si>
  <si>
    <t>PROFIT GENERATED/LOST ON STOCKS</t>
  </si>
  <si>
    <t>CASH</t>
  </si>
  <si>
    <t>STARTCAPITAL 2020</t>
  </si>
  <si>
    <t>PROFIT/LOSS STOCKS IN PORTFOLIO</t>
  </si>
  <si>
    <t>CASH%</t>
  </si>
  <si>
    <t>STARTCAPITAL 2020 + PROFIT STOCKS SOLD</t>
  </si>
  <si>
    <t>PROFIT/LOSS STOCKS SOLD</t>
  </si>
  <si>
    <t>STARTCAPITAL 2020 + PROFIT STOCKS SOLD+PROFIT PORTFOLIO</t>
  </si>
  <si>
    <t>TOTAL RENDEMENT 2018-21</t>
  </si>
  <si>
    <t>Watchlist/Koop lijst</t>
  </si>
  <si>
    <t>Rec. Exch rate</t>
  </si>
  <si>
    <t>Rec. Price</t>
  </si>
  <si>
    <t>Euro</t>
  </si>
  <si>
    <t>Beurs</t>
  </si>
  <si>
    <t>Buy or Sell</t>
  </si>
  <si>
    <t>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</si>
</sst>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€&quot;\ * #,##0.00_);_(&quot;€&quot;\ * \(#,##0.00\);_(&quot;€&quot;\ * &quot;-&quot;??_);_(@_)"/>
    <numFmt numFmtId="43" formatCode="_(* #,##0.00_);_(* \(#,##0.00\);_(* &quot;-&quot;??_);_(@_)"/>
    <numFmt numFmtId="164" formatCode="[$-F800]dddd\,\ mmmm\ dd\,\ yyyy"/>
    <numFmt numFmtId="165" formatCode="_([$€-2]\ * #,##0_);_([$€-2]\ * \(#,##0\);_([$€-2]\ * &quot;-&quot;??_);_(@_)"/>
    <numFmt numFmtId="166" formatCode="0.0%"/>
    <numFmt numFmtId="167" formatCode="0.0000"/>
    <numFmt numFmtId="168" formatCode="_(* #,##0.000_);_(* \(#,##0.000\);_(* &quot;-&quot;??_);_(@_)"/>
    <numFmt numFmtId="169" formatCode="_(* #,##0_);_(* \(#,##0\);_(* &quot;-&quot;??_);_(@_)"/>
    <numFmt numFmtId="170" formatCode="0.000"/>
    <numFmt numFmtId="171" formatCode="_([$€-2]\ * #,##0.00_);_([$€-2]\ * \(#,##0.00\);_([$€-2]\ * &quot;-&quot;??_);_(@_)"/>
    <numFmt numFmtId="172" formatCode="_(* #,##0.0000_);_(* \(#,##0.0000\);_(* &quot;-&quot;??_);_(@_)"/>
    <numFmt numFmtId="173" formatCode="_(&quot;€&quot;\ * #,##0_);_(&quot;€&quot;\ * \(#,##0\);_(&quot;€&quot;\ * &quot;-&quot;??_);_(@_)"/>
    <numFmt numFmtId="174" formatCode="_ [$€-413]\ * #,##0_ ;_ [$€-413]\ * \-#,##0_ ;_ [$€-413]\ * &quot;-&quot;??_ ;_ @_ 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164" fontId="2" fillId="0" borderId="1" xfId="0" applyNumberFormat="1" applyFont="1" applyBorder="1" applyAlignment="1">
      <alignment horizontal="right"/>
    </xf>
    <xf numFmtId="0" fontId="3" fillId="0" borderId="1" xfId="0" applyFont="1" applyBorder="1"/>
    <xf numFmtId="14" fontId="3" fillId="0" borderId="1" xfId="0" applyNumberFormat="1" applyFont="1" applyBorder="1"/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14" fontId="4" fillId="0" borderId="1" xfId="0" applyNumberFormat="1" applyFont="1" applyBorder="1"/>
    <xf numFmtId="43" fontId="4" fillId="0" borderId="1" xfId="1" applyFont="1" applyBorder="1"/>
    <xf numFmtId="165" fontId="4" fillId="0" borderId="1" xfId="0" applyNumberFormat="1" applyFont="1" applyBorder="1"/>
    <xf numFmtId="166" fontId="4" fillId="0" borderId="1" xfId="3" applyNumberFormat="1" applyFont="1" applyBorder="1"/>
    <xf numFmtId="165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43" fontId="4" fillId="0" borderId="1" xfId="0" applyNumberFormat="1" applyFont="1" applyBorder="1" applyAlignment="1">
      <alignment horizontal="left"/>
    </xf>
    <xf numFmtId="43" fontId="4" fillId="0" borderId="1" xfId="0" applyNumberFormat="1" applyFont="1" applyBorder="1" applyAlignment="1">
      <alignment horizontal="center"/>
    </xf>
    <xf numFmtId="167" fontId="4" fillId="0" borderId="1" xfId="0" applyNumberFormat="1" applyFont="1" applyBorder="1"/>
    <xf numFmtId="2" fontId="5" fillId="2" borderId="2" xfId="0" applyNumberFormat="1" applyFont="1" applyFill="1" applyBorder="1"/>
    <xf numFmtId="166" fontId="6" fillId="0" borderId="1" xfId="3" applyNumberFormat="1" applyFont="1" applyBorder="1"/>
    <xf numFmtId="43" fontId="7" fillId="0" borderId="1" xfId="0" applyNumberFormat="1" applyFont="1" applyBorder="1" applyAlignment="1">
      <alignment horizontal="center"/>
    </xf>
    <xf numFmtId="166" fontId="7" fillId="0" borderId="1" xfId="3" applyNumberFormat="1" applyFont="1" applyBorder="1"/>
    <xf numFmtId="168" fontId="4" fillId="0" borderId="1" xfId="1" applyNumberFormat="1" applyFont="1" applyBorder="1"/>
    <xf numFmtId="2" fontId="4" fillId="0" borderId="1" xfId="0" applyNumberFormat="1" applyFont="1" applyBorder="1"/>
    <xf numFmtId="2" fontId="5" fillId="0" borderId="2" xfId="0" applyNumberFormat="1" applyFont="1" applyBorder="1"/>
    <xf numFmtId="166" fontId="7" fillId="0" borderId="1" xfId="3" applyNumberFormat="1" applyFont="1" applyFill="1" applyBorder="1"/>
    <xf numFmtId="2" fontId="4" fillId="2" borderId="1" xfId="0" applyNumberFormat="1" applyFont="1" applyFill="1" applyBorder="1"/>
    <xf numFmtId="43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Border="1"/>
    <xf numFmtId="43" fontId="4" fillId="0" borderId="1" xfId="1" applyFont="1" applyBorder="1" applyAlignment="1">
      <alignment horizontal="right"/>
    </xf>
    <xf numFmtId="169" fontId="4" fillId="0" borderId="1" xfId="0" applyNumberFormat="1" applyFont="1" applyBorder="1"/>
    <xf numFmtId="43" fontId="4" fillId="2" borderId="1" xfId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1" fontId="5" fillId="2" borderId="2" xfId="0" applyNumberFormat="1" applyFont="1" applyFill="1" applyBorder="1"/>
    <xf numFmtId="1" fontId="4" fillId="0" borderId="1" xfId="0" applyNumberFormat="1" applyFont="1" applyBorder="1" applyAlignment="1">
      <alignment horizontal="right"/>
    </xf>
    <xf numFmtId="2" fontId="4" fillId="0" borderId="3" xfId="0" applyNumberFormat="1" applyFont="1" applyBorder="1" applyAlignment="1">
      <alignment horizontal="right"/>
    </xf>
    <xf numFmtId="0" fontId="8" fillId="0" borderId="0" xfId="0" applyFont="1"/>
    <xf numFmtId="0" fontId="4" fillId="0" borderId="3" xfId="0" applyFont="1" applyBorder="1"/>
    <xf numFmtId="167" fontId="4" fillId="0" borderId="3" xfId="0" applyNumberFormat="1" applyFont="1" applyBorder="1"/>
    <xf numFmtId="165" fontId="4" fillId="0" borderId="3" xfId="0" applyNumberFormat="1" applyFont="1" applyBorder="1"/>
    <xf numFmtId="170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171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right"/>
    </xf>
    <xf numFmtId="43" fontId="4" fillId="0" borderId="1" xfId="0" applyNumberFormat="1" applyFont="1" applyBorder="1" applyAlignment="1">
      <alignment horizontal="left" vertical="center"/>
    </xf>
    <xf numFmtId="0" fontId="5" fillId="0" borderId="1" xfId="0" applyFont="1" applyBorder="1"/>
    <xf numFmtId="14" fontId="5" fillId="0" borderId="1" xfId="0" applyNumberFormat="1" applyFont="1" applyBorder="1"/>
    <xf numFmtId="43" fontId="5" fillId="0" borderId="1" xfId="0" applyNumberFormat="1" applyFont="1" applyBorder="1"/>
    <xf numFmtId="43" fontId="4" fillId="0" borderId="1" xfId="1" applyFont="1" applyFill="1" applyBorder="1"/>
    <xf numFmtId="172" fontId="4" fillId="0" borderId="1" xfId="0" applyNumberFormat="1" applyFont="1" applyBorder="1"/>
    <xf numFmtId="43" fontId="4" fillId="0" borderId="1" xfId="0" applyNumberFormat="1" applyFont="1" applyBorder="1"/>
    <xf numFmtId="165" fontId="4" fillId="0" borderId="1" xfId="2" applyNumberFormat="1" applyFont="1" applyBorder="1"/>
    <xf numFmtId="173" fontId="4" fillId="0" borderId="1" xfId="2" applyNumberFormat="1" applyFont="1" applyBorder="1"/>
    <xf numFmtId="167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43" fontId="4" fillId="0" borderId="1" xfId="1" applyFont="1" applyFill="1" applyBorder="1" applyAlignment="1">
      <alignment horizontal="right"/>
    </xf>
    <xf numFmtId="167" fontId="4" fillId="2" borderId="1" xfId="0" applyNumberFormat="1" applyFont="1" applyFill="1" applyBorder="1"/>
    <xf numFmtId="0" fontId="3" fillId="0" borderId="1" xfId="0" applyFont="1" applyBorder="1" applyAlignment="1">
      <alignment horizontal="left"/>
    </xf>
    <xf numFmtId="174" fontId="3" fillId="0" borderId="1" xfId="0" applyNumberFormat="1" applyFont="1" applyBorder="1" applyAlignment="1">
      <alignment horizontal="left"/>
    </xf>
    <xf numFmtId="173" fontId="3" fillId="0" borderId="1" xfId="2" applyNumberFormat="1" applyFont="1" applyBorder="1"/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74" fontId="3" fillId="0" borderId="1" xfId="3" applyNumberFormat="1" applyFont="1" applyBorder="1" applyAlignment="1">
      <alignment horizontal="right"/>
    </xf>
    <xf numFmtId="174" fontId="3" fillId="0" borderId="1" xfId="0" applyNumberFormat="1" applyFont="1" applyBorder="1"/>
    <xf numFmtId="9" fontId="3" fillId="0" borderId="1" xfId="3" applyFont="1" applyBorder="1" applyAlignment="1">
      <alignment horizontal="right"/>
    </xf>
    <xf numFmtId="166" fontId="3" fillId="0" borderId="1" xfId="3" applyNumberFormat="1" applyFont="1" applyBorder="1"/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7" fontId="7" fillId="0" borderId="1" xfId="0" applyNumberFormat="1" applyFont="1" applyBorder="1"/>
    <xf numFmtId="43" fontId="7" fillId="0" borderId="1" xfId="1" applyFont="1" applyFill="1" applyBorder="1"/>
    <xf numFmtId="165" fontId="7" fillId="0" borderId="1" xfId="0" applyNumberFormat="1" applyFont="1" applyBorder="1"/>
    <xf numFmtId="43" fontId="7" fillId="0" borderId="1" xfId="1" applyFont="1" applyFill="1" applyBorder="1" applyAlignment="1">
      <alignment horizontal="right"/>
    </xf>
    <xf numFmtId="167" fontId="6" fillId="0" borderId="1" xfId="0" applyNumberFormat="1" applyFont="1" applyBorder="1"/>
    <xf numFmtId="165" fontId="4" fillId="0" borderId="4" xfId="0" applyNumberFormat="1" applyFont="1" applyBorder="1" applyAlignment="1">
      <alignment horizontal="left"/>
    </xf>
    <xf numFmtId="165" fontId="4" fillId="0" borderId="5" xfId="0" applyNumberFormat="1" applyFont="1" applyBorder="1" applyAlignment="1">
      <alignment horizontal="left"/>
    </xf>
    <xf numFmtId="165" fontId="4" fillId="0" borderId="6" xfId="0" applyNumberFormat="1" applyFont="1" applyBorder="1" applyAlignment="1">
      <alignment horizontal="left"/>
    </xf>
  </cellXfs>
  <cellStyles count="4">
    <cellStyle name="Komma" xfId="1" builtinId="3"/>
    <cellStyle name="Procent" xfId="3" builtinId="5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der/Documents/4.%20Martin/Werk/Stocks4u/1.%20Tabellen%20voor%20nieuwsbri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 data"/>
      <sheetName val="crypto"/>
      <sheetName val="2021"/>
      <sheetName val="Highscore List"/>
      <sheetName val="BBBB "/>
      <sheetName val="Formules"/>
      <sheetName val="Dividend"/>
      <sheetName val="Gouddichtheid"/>
      <sheetName val="Watchlist"/>
      <sheetName val="2020"/>
      <sheetName val="2019"/>
      <sheetName val="Opties"/>
      <sheetName val="SHORT"/>
      <sheetName val="Blad1"/>
      <sheetName val="Blad3"/>
      <sheetName val="2018"/>
      <sheetName val="Mijnen"/>
      <sheetName val="Blad2"/>
      <sheetName val="Stockpicking"/>
      <sheetName val="BEARMARKET SURVIVAL"/>
    </sheetNames>
    <sheetDataSet>
      <sheetData sheetId="0">
        <row r="3">
          <cell r="D3">
            <v>1.193744777366599</v>
          </cell>
          <cell r="G3">
            <v>4.0599999999999996</v>
          </cell>
          <cell r="J3">
            <v>1.27</v>
          </cell>
          <cell r="M3">
            <v>2.79</v>
          </cell>
          <cell r="P3">
            <v>0.59</v>
          </cell>
          <cell r="S3">
            <v>195.24</v>
          </cell>
        </row>
        <row r="4">
          <cell r="D4">
            <v>1.467782181124321</v>
          </cell>
          <cell r="G4">
            <v>5.6</v>
          </cell>
          <cell r="J4">
            <v>1.64</v>
          </cell>
          <cell r="M4">
            <v>1.32</v>
          </cell>
          <cell r="P4">
            <v>2.9</v>
          </cell>
          <cell r="S4">
            <v>9.68</v>
          </cell>
        </row>
        <row r="5">
          <cell r="D5">
            <v>1.5735641227380017</v>
          </cell>
          <cell r="G5">
            <v>47.62</v>
          </cell>
          <cell r="J5">
            <v>3.5000000000000003E-2</v>
          </cell>
          <cell r="M5">
            <v>2.94</v>
          </cell>
          <cell r="P5">
            <v>0.46</v>
          </cell>
          <cell r="S5">
            <v>5.62</v>
          </cell>
        </row>
        <row r="6">
          <cell r="G6">
            <v>34.36</v>
          </cell>
          <cell r="M6">
            <v>6.11</v>
          </cell>
          <cell r="S6">
            <v>15.76</v>
          </cell>
        </row>
        <row r="7">
          <cell r="J7">
            <v>8.08</v>
          </cell>
          <cell r="M7">
            <v>0.16500000000000001</v>
          </cell>
          <cell r="S7">
            <v>1.37</v>
          </cell>
        </row>
        <row r="8">
          <cell r="J8">
            <v>44.03</v>
          </cell>
          <cell r="M8">
            <v>1.4</v>
          </cell>
          <cell r="S8">
            <v>145.22999999999999</v>
          </cell>
        </row>
        <row r="9">
          <cell r="J9">
            <v>0.87</v>
          </cell>
          <cell r="M9">
            <v>0.49</v>
          </cell>
          <cell r="S9">
            <v>8.08</v>
          </cell>
        </row>
        <row r="10">
          <cell r="J10">
            <v>2.38</v>
          </cell>
          <cell r="M10">
            <v>0.155</v>
          </cell>
          <cell r="S10">
            <v>8.94</v>
          </cell>
        </row>
        <row r="11">
          <cell r="J11">
            <v>8.67</v>
          </cell>
          <cell r="M11">
            <v>0.16</v>
          </cell>
          <cell r="S11">
            <v>8.8699999999999992</v>
          </cell>
        </row>
        <row r="12">
          <cell r="J12">
            <v>0.63</v>
          </cell>
          <cell r="M12">
            <v>0.16500000000000001</v>
          </cell>
          <cell r="S12">
            <v>0.71</v>
          </cell>
        </row>
        <row r="13">
          <cell r="J13">
            <v>9.27</v>
          </cell>
          <cell r="M13">
            <v>0.38</v>
          </cell>
          <cell r="S13">
            <v>11.31</v>
          </cell>
        </row>
        <row r="14">
          <cell r="J14">
            <v>18.669699999999999</v>
          </cell>
          <cell r="S14">
            <v>4.29</v>
          </cell>
        </row>
        <row r="15">
          <cell r="J15">
            <v>0.38500000000000001</v>
          </cell>
          <cell r="T15">
            <v>2.9878335535006606</v>
          </cell>
        </row>
        <row r="16">
          <cell r="J16">
            <v>5.85</v>
          </cell>
          <cell r="S16">
            <v>1.45</v>
          </cell>
        </row>
        <row r="17">
          <cell r="S17">
            <v>8.6300000000000008</v>
          </cell>
        </row>
        <row r="18">
          <cell r="J18">
            <v>2.46</v>
          </cell>
          <cell r="S18">
            <v>2.63</v>
          </cell>
        </row>
        <row r="20">
          <cell r="J20">
            <v>0.64</v>
          </cell>
        </row>
        <row r="21">
          <cell r="J21">
            <v>3.85</v>
          </cell>
        </row>
        <row r="22">
          <cell r="J22">
            <v>0.6</v>
          </cell>
        </row>
        <row r="23">
          <cell r="J23">
            <v>0.69</v>
          </cell>
        </row>
        <row r="24">
          <cell r="J24">
            <v>0.14000000000000001</v>
          </cell>
        </row>
        <row r="26">
          <cell r="J26">
            <v>0.7</v>
          </cell>
        </row>
        <row r="27">
          <cell r="J27">
            <v>0.7</v>
          </cell>
        </row>
        <row r="28">
          <cell r="J28">
            <v>0.17499999999999999</v>
          </cell>
        </row>
        <row r="30">
          <cell r="J30">
            <v>0.86</v>
          </cell>
        </row>
        <row r="31">
          <cell r="J31">
            <v>2.6</v>
          </cell>
        </row>
      </sheetData>
      <sheetData sheetId="1">
        <row r="2">
          <cell r="C2">
            <v>27089.997500000001</v>
          </cell>
        </row>
        <row r="3">
          <cell r="C3">
            <v>1536.885</v>
          </cell>
        </row>
        <row r="4">
          <cell r="C4">
            <v>107.1793</v>
          </cell>
        </row>
        <row r="5">
          <cell r="C5">
            <v>385.18900000000002</v>
          </cell>
        </row>
      </sheetData>
      <sheetData sheetId="2"/>
      <sheetData sheetId="3"/>
      <sheetData sheetId="4"/>
      <sheetData sheetId="5"/>
      <sheetData sheetId="6">
        <row r="3">
          <cell r="P3">
            <v>2.97</v>
          </cell>
        </row>
        <row r="4">
          <cell r="P4">
            <v>0.13</v>
          </cell>
        </row>
        <row r="5">
          <cell r="P5">
            <v>8.25</v>
          </cell>
        </row>
        <row r="7">
          <cell r="P7">
            <v>0.51</v>
          </cell>
        </row>
        <row r="8">
          <cell r="P8">
            <v>0.3</v>
          </cell>
        </row>
        <row r="9">
          <cell r="P9">
            <v>0.16</v>
          </cell>
        </row>
        <row r="11">
          <cell r="P11">
            <v>1.72</v>
          </cell>
        </row>
        <row r="12">
          <cell r="P12">
            <v>0.72</v>
          </cell>
        </row>
        <row r="22">
          <cell r="P22">
            <v>4.9000000000000009E-2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FC101-E8A4-134A-845D-FA3F602CE99A}">
  <dimension ref="A1:P155"/>
  <sheetViews>
    <sheetView tabSelected="1" workbookViewId="0">
      <selection activeCell="Q7" sqref="Q7"/>
    </sheetView>
  </sheetViews>
  <sheetFormatPr baseColWidth="10" defaultRowHeight="16" x14ac:dyDescent="0.2"/>
  <cols>
    <col min="1" max="1" width="21.1640625" bestFit="1" customWidth="1"/>
    <col min="2" max="2" width="5.1640625" bestFit="1" customWidth="1"/>
    <col min="3" max="3" width="6.83203125" bestFit="1" customWidth="1"/>
    <col min="4" max="4" width="4.5" bestFit="1" customWidth="1"/>
    <col min="5" max="5" width="8.6640625" bestFit="1" customWidth="1"/>
    <col min="6" max="6" width="6.1640625" bestFit="1" customWidth="1"/>
    <col min="7" max="7" width="6.6640625" bestFit="1" customWidth="1"/>
    <col min="8" max="9" width="6.1640625" bestFit="1" customWidth="1"/>
    <col min="10" max="10" width="9.33203125" bestFit="1" customWidth="1"/>
    <col min="11" max="11" width="6.33203125" bestFit="1" customWidth="1"/>
    <col min="12" max="12" width="5.6640625" bestFit="1" customWidth="1"/>
    <col min="13" max="13" width="6.33203125" bestFit="1" customWidth="1"/>
    <col min="14" max="14" width="4.1640625" bestFit="1" customWidth="1"/>
    <col min="15" max="15" width="6" bestFit="1" customWidth="1"/>
    <col min="16" max="16" width="6.1640625" bestFit="1" customWidth="1"/>
  </cols>
  <sheetData>
    <row r="1" spans="1:16" x14ac:dyDescent="0.2">
      <c r="A1" s="1">
        <f ca="1">TODAY()</f>
        <v>44373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5" t="s">
        <v>12</v>
      </c>
      <c r="N2" s="6" t="s">
        <v>13</v>
      </c>
      <c r="O2" s="7" t="s">
        <v>14</v>
      </c>
      <c r="P2" s="5" t="s">
        <v>15</v>
      </c>
    </row>
    <row r="3" spans="1:16" x14ac:dyDescent="0.2">
      <c r="A3" s="2" t="s">
        <v>16</v>
      </c>
      <c r="B3" s="8"/>
      <c r="C3" s="9"/>
      <c r="D3" s="8"/>
      <c r="E3" s="8"/>
      <c r="F3" s="10"/>
      <c r="G3" s="11"/>
      <c r="H3" s="8"/>
      <c r="I3" s="8"/>
      <c r="J3" s="8"/>
      <c r="K3" s="11"/>
      <c r="L3" s="12"/>
      <c r="M3" s="13"/>
      <c r="N3" s="14"/>
      <c r="O3" s="15"/>
      <c r="P3" s="16"/>
    </row>
    <row r="4" spans="1:16" x14ac:dyDescent="0.2">
      <c r="A4" s="8" t="s">
        <v>17</v>
      </c>
      <c r="B4" s="8" t="s">
        <v>18</v>
      </c>
      <c r="C4" s="9">
        <v>43837</v>
      </c>
      <c r="D4" s="8">
        <v>720</v>
      </c>
      <c r="E4" s="17">
        <v>1.45</v>
      </c>
      <c r="F4" s="10">
        <v>0.81</v>
      </c>
      <c r="G4" s="11">
        <f t="shared" ref="G4:G72" si="0">(F4*D4)/E4</f>
        <v>402.20689655172418</v>
      </c>
      <c r="H4" s="18">
        <f>'[1]auto data'!J3</f>
        <v>1.27</v>
      </c>
      <c r="I4" s="8">
        <v>0</v>
      </c>
      <c r="J4" s="17">
        <f>J144</f>
        <v>1.467782181124321</v>
      </c>
      <c r="K4" s="11">
        <f>((H4+I4)/J4)*D4</f>
        <v>622.98072000000002</v>
      </c>
      <c r="L4" s="19">
        <f>(K4-G4)/G4</f>
        <v>0.54890611111111098</v>
      </c>
      <c r="M4" s="13">
        <f t="shared" ref="M4:M35" si="1">K4-G4</f>
        <v>220.77382344827583</v>
      </c>
      <c r="N4" s="14">
        <v>1.55</v>
      </c>
      <c r="O4" s="15">
        <f>(N4+I4)*0.33</f>
        <v>0.51150000000000007</v>
      </c>
      <c r="P4" s="20">
        <f>O4-F4</f>
        <v>-0.29849999999999999</v>
      </c>
    </row>
    <row r="5" spans="1:16" x14ac:dyDescent="0.2">
      <c r="A5" s="8" t="s">
        <v>19</v>
      </c>
      <c r="B5" s="8" t="s">
        <v>20</v>
      </c>
      <c r="C5" s="9">
        <v>43850</v>
      </c>
      <c r="D5" s="8">
        <v>122</v>
      </c>
      <c r="E5" s="17">
        <v>1.45</v>
      </c>
      <c r="F5" s="10">
        <v>2.4700000000000002</v>
      </c>
      <c r="G5" s="11">
        <f t="shared" si="0"/>
        <v>207.82068965517243</v>
      </c>
      <c r="H5" s="18">
        <f>'[1]auto data'!J4</f>
        <v>1.64</v>
      </c>
      <c r="I5" s="8">
        <v>0</v>
      </c>
      <c r="J5" s="17">
        <f>J144</f>
        <v>1.467782181124321</v>
      </c>
      <c r="K5" s="11">
        <f>((H5+I5)/J5)*D5</f>
        <v>136.314504</v>
      </c>
      <c r="L5" s="21">
        <f>(K5-G5)/G5</f>
        <v>-0.3440763562753037</v>
      </c>
      <c r="M5" s="13">
        <f t="shared" si="1"/>
        <v>-71.50618565517243</v>
      </c>
      <c r="N5" s="14">
        <v>3.9</v>
      </c>
      <c r="O5" s="15">
        <f>(N5+I5)*0.33</f>
        <v>1.2869999999999999</v>
      </c>
      <c r="P5" s="20">
        <f>O5-F5</f>
        <v>-1.1830000000000003</v>
      </c>
    </row>
    <row r="6" spans="1:16" x14ac:dyDescent="0.2">
      <c r="A6" s="8" t="s">
        <v>21</v>
      </c>
      <c r="B6" s="8" t="s">
        <v>22</v>
      </c>
      <c r="C6" s="9">
        <v>43881</v>
      </c>
      <c r="D6" s="8">
        <v>6400</v>
      </c>
      <c r="E6" s="17">
        <v>1.43</v>
      </c>
      <c r="F6" s="22">
        <v>4.4999999999999998E-2</v>
      </c>
      <c r="G6" s="11">
        <f t="shared" si="0"/>
        <v>201.39860139860141</v>
      </c>
      <c r="H6" s="18">
        <f>'[1]auto data'!J5</f>
        <v>3.5000000000000003E-2</v>
      </c>
      <c r="I6" s="8">
        <v>0</v>
      </c>
      <c r="J6" s="17">
        <f>J144</f>
        <v>1.467782181124321</v>
      </c>
      <c r="K6" s="11">
        <f>((H6+I6)/J6)*D6</f>
        <v>152.61120000000003</v>
      </c>
      <c r="L6" s="21">
        <f>(K6-G6)/G6</f>
        <v>-0.24224299999999993</v>
      </c>
      <c r="M6" s="13">
        <f t="shared" si="1"/>
        <v>-48.787401398601389</v>
      </c>
      <c r="N6" s="14">
        <v>0.05</v>
      </c>
      <c r="O6" s="15">
        <f>(N6+I6)*0.33</f>
        <v>1.6500000000000001E-2</v>
      </c>
      <c r="P6" s="20">
        <f>O6-F6</f>
        <v>-2.8499999999999998E-2</v>
      </c>
    </row>
    <row r="7" spans="1:16" x14ac:dyDescent="0.2">
      <c r="A7" s="8" t="s">
        <v>23</v>
      </c>
      <c r="B7" s="8" t="s">
        <v>24</v>
      </c>
      <c r="C7" s="9">
        <v>44193</v>
      </c>
      <c r="D7" s="8">
        <v>100</v>
      </c>
      <c r="E7" s="17">
        <v>1.2213000000000001</v>
      </c>
      <c r="F7" s="10">
        <v>6.665</v>
      </c>
      <c r="G7" s="11">
        <f t="shared" si="0"/>
        <v>545.72995987881768</v>
      </c>
      <c r="H7" s="18">
        <f>'[1]auto data'!J7</f>
        <v>8.08</v>
      </c>
      <c r="I7" s="23">
        <v>0</v>
      </c>
      <c r="J7" s="17">
        <f>J143</f>
        <v>1.193744777366599</v>
      </c>
      <c r="K7" s="11">
        <f t="shared" ref="K7:K13" si="2">((H7+I7)/J7)*D7</f>
        <v>676.86159999999995</v>
      </c>
      <c r="L7" s="19">
        <f t="shared" ref="L7:L13" si="3">(K7-G7)/G7</f>
        <v>0.24028667978994733</v>
      </c>
      <c r="M7" s="13">
        <f t="shared" si="1"/>
        <v>131.13164012118227</v>
      </c>
      <c r="N7" s="14">
        <v>8.4</v>
      </c>
      <c r="O7" s="15">
        <f>(N7+I7)*0.75</f>
        <v>6.3000000000000007</v>
      </c>
      <c r="P7" s="20">
        <f t="shared" ref="P7:P11" si="4">O7-F7</f>
        <v>-0.36499999999999932</v>
      </c>
    </row>
    <row r="8" spans="1:16" x14ac:dyDescent="0.2">
      <c r="A8" s="8" t="s">
        <v>25</v>
      </c>
      <c r="B8" s="8" t="s">
        <v>26</v>
      </c>
      <c r="C8" s="9">
        <v>44195</v>
      </c>
      <c r="D8" s="8">
        <v>30</v>
      </c>
      <c r="E8" s="17">
        <v>1.2286999999999999</v>
      </c>
      <c r="F8" s="10">
        <v>42.5</v>
      </c>
      <c r="G8" s="11">
        <f t="shared" si="0"/>
        <v>1037.6821030357289</v>
      </c>
      <c r="H8" s="18">
        <f>'[1]auto data'!J8</f>
        <v>44.03</v>
      </c>
      <c r="I8" s="23">
        <f>[1]Dividend!P4</f>
        <v>0.13</v>
      </c>
      <c r="J8" s="17">
        <f>J143</f>
        <v>1.193744777366599</v>
      </c>
      <c r="K8" s="11">
        <f t="shared" si="2"/>
        <v>1109.7849600000002</v>
      </c>
      <c r="L8" s="19">
        <f t="shared" si="3"/>
        <v>6.9484533609411842E-2</v>
      </c>
      <c r="M8" s="13">
        <f t="shared" si="1"/>
        <v>72.102856964271268</v>
      </c>
      <c r="N8" s="14">
        <v>47.24</v>
      </c>
      <c r="O8" s="15">
        <f>(N8+I8)*0.75</f>
        <v>35.527500000000003</v>
      </c>
      <c r="P8" s="20">
        <f t="shared" si="4"/>
        <v>-6.9724999999999966</v>
      </c>
    </row>
    <row r="9" spans="1:16" x14ac:dyDescent="0.2">
      <c r="A9" s="8" t="s">
        <v>27</v>
      </c>
      <c r="B9" s="8" t="s">
        <v>28</v>
      </c>
      <c r="C9" s="9">
        <v>44204</v>
      </c>
      <c r="D9" s="8">
        <v>700</v>
      </c>
      <c r="E9" s="17">
        <v>1.52</v>
      </c>
      <c r="F9" s="10">
        <v>0.90200000000000002</v>
      </c>
      <c r="G9" s="11">
        <f t="shared" si="0"/>
        <v>415.39473684210526</v>
      </c>
      <c r="H9" s="18">
        <f>'[1]auto data'!J9</f>
        <v>0.87</v>
      </c>
      <c r="I9" s="23">
        <v>0</v>
      </c>
      <c r="J9" s="17">
        <f>J144</f>
        <v>1.467782181124321</v>
      </c>
      <c r="K9" s="11">
        <f t="shared" si="2"/>
        <v>414.9117</v>
      </c>
      <c r="L9" s="21">
        <f t="shared" si="3"/>
        <v>-1.1628381374722857E-3</v>
      </c>
      <c r="M9" s="13">
        <f t="shared" si="1"/>
        <v>-0.48303684210526399</v>
      </c>
      <c r="N9" s="14">
        <v>1.02</v>
      </c>
      <c r="O9" s="15">
        <f>(N9+I9)*0.66</f>
        <v>0.67320000000000002</v>
      </c>
      <c r="P9" s="20">
        <f t="shared" si="4"/>
        <v>-0.2288</v>
      </c>
    </row>
    <row r="10" spans="1:16" x14ac:dyDescent="0.2">
      <c r="A10" s="8" t="s">
        <v>29</v>
      </c>
      <c r="B10" s="8" t="s">
        <v>30</v>
      </c>
      <c r="C10" s="9">
        <v>44210</v>
      </c>
      <c r="D10" s="8">
        <v>400</v>
      </c>
      <c r="E10" s="17">
        <v>1.56</v>
      </c>
      <c r="F10" s="10">
        <v>2.52</v>
      </c>
      <c r="G10" s="11">
        <f t="shared" si="0"/>
        <v>646.15384615384608</v>
      </c>
      <c r="H10" s="18">
        <f>'[1]auto data'!J10</f>
        <v>2.38</v>
      </c>
      <c r="I10" s="23">
        <v>0</v>
      </c>
      <c r="J10" s="17">
        <f>J144</f>
        <v>1.467782181124321</v>
      </c>
      <c r="K10" s="11">
        <f t="shared" si="2"/>
        <v>648.59759999999994</v>
      </c>
      <c r="L10" s="21">
        <f t="shared" si="3"/>
        <v>3.782000000000034E-3</v>
      </c>
      <c r="M10" s="13">
        <f t="shared" si="1"/>
        <v>2.4437538461538679</v>
      </c>
      <c r="N10" s="14">
        <v>3.15</v>
      </c>
      <c r="O10" s="15">
        <f>(N10+I10)*0.66</f>
        <v>2.0790000000000002</v>
      </c>
      <c r="P10" s="20">
        <f t="shared" si="4"/>
        <v>-0.44099999999999984</v>
      </c>
    </row>
    <row r="11" spans="1:16" x14ac:dyDescent="0.2">
      <c r="A11" s="8" t="s">
        <v>31</v>
      </c>
      <c r="B11" s="8" t="s">
        <v>32</v>
      </c>
      <c r="C11" s="9">
        <v>44211</v>
      </c>
      <c r="D11" s="8">
        <v>50</v>
      </c>
      <c r="E11" s="17">
        <v>1.1935</v>
      </c>
      <c r="F11" s="10">
        <v>8.75</v>
      </c>
      <c r="G11" s="11">
        <f t="shared" si="0"/>
        <v>366.56891495601172</v>
      </c>
      <c r="H11" s="18">
        <f>'[1]auto data'!J11</f>
        <v>8.67</v>
      </c>
      <c r="I11" s="23">
        <v>0</v>
      </c>
      <c r="J11" s="17">
        <f>J143</f>
        <v>1.193744777366599</v>
      </c>
      <c r="K11" s="11">
        <f t="shared" si="2"/>
        <v>363.14294999999998</v>
      </c>
      <c r="L11" s="21">
        <f t="shared" si="3"/>
        <v>-9.3460324000000251E-3</v>
      </c>
      <c r="M11" s="13">
        <f t="shared" si="1"/>
        <v>-3.4259649560117396</v>
      </c>
      <c r="N11" s="14">
        <v>10.15</v>
      </c>
      <c r="O11" s="15">
        <f>(N11+I11)*0.66</f>
        <v>6.6990000000000007</v>
      </c>
      <c r="P11" s="20">
        <f t="shared" si="4"/>
        <v>-2.0509999999999993</v>
      </c>
    </row>
    <row r="12" spans="1:16" x14ac:dyDescent="0.2">
      <c r="A12" s="8" t="s">
        <v>33</v>
      </c>
      <c r="B12" s="8" t="s">
        <v>34</v>
      </c>
      <c r="C12" s="9">
        <v>44246</v>
      </c>
      <c r="D12" s="8">
        <v>800</v>
      </c>
      <c r="E12" s="17">
        <v>1.51</v>
      </c>
      <c r="F12" s="10">
        <v>0.7</v>
      </c>
      <c r="G12" s="11">
        <f t="shared" si="0"/>
        <v>370.86092715231786</v>
      </c>
      <c r="H12" s="18">
        <f>'[1]auto data'!J12</f>
        <v>0.63</v>
      </c>
      <c r="I12" s="23">
        <v>0</v>
      </c>
      <c r="J12" s="17">
        <f>J144</f>
        <v>1.467782181124321</v>
      </c>
      <c r="K12" s="11">
        <f t="shared" si="2"/>
        <v>343.37520000000001</v>
      </c>
      <c r="L12" s="21">
        <f t="shared" si="3"/>
        <v>-7.4113299999999924E-2</v>
      </c>
      <c r="M12" s="13">
        <f t="shared" si="1"/>
        <v>-27.48572715231785</v>
      </c>
      <c r="N12" s="14">
        <v>0.87</v>
      </c>
      <c r="O12" s="15">
        <f>(N12+I12)*0.66</f>
        <v>0.57420000000000004</v>
      </c>
      <c r="P12" s="20">
        <f>O12-F12</f>
        <v>-0.12579999999999991</v>
      </c>
    </row>
    <row r="13" spans="1:16" x14ac:dyDescent="0.2">
      <c r="A13" s="8" t="s">
        <v>35</v>
      </c>
      <c r="B13" s="8" t="s">
        <v>36</v>
      </c>
      <c r="C13" s="9">
        <v>44250</v>
      </c>
      <c r="D13" s="8">
        <v>500</v>
      </c>
      <c r="E13" s="17">
        <v>1.1936</v>
      </c>
      <c r="F13" s="10">
        <v>9.2200000000000006</v>
      </c>
      <c r="G13" s="11">
        <f t="shared" si="0"/>
        <v>3862.2654155495979</v>
      </c>
      <c r="H13" s="18">
        <f>'[1]auto data'!J13</f>
        <v>9.27</v>
      </c>
      <c r="I13" s="23">
        <v>0</v>
      </c>
      <c r="J13" s="17">
        <f>J143</f>
        <v>1.193744777366599</v>
      </c>
      <c r="K13" s="11">
        <f t="shared" si="2"/>
        <v>3882.7395000000001</v>
      </c>
      <c r="L13" s="19">
        <f t="shared" si="3"/>
        <v>5.3010557917570608E-3</v>
      </c>
      <c r="M13" s="13">
        <f t="shared" si="1"/>
        <v>20.474084450402188</v>
      </c>
      <c r="N13" s="14">
        <v>10.07</v>
      </c>
      <c r="O13" s="15">
        <f>(N13+I13)*0.75</f>
        <v>7.5525000000000002</v>
      </c>
      <c r="P13" s="20">
        <f>O13-F13</f>
        <v>-1.6675000000000004</v>
      </c>
    </row>
    <row r="14" spans="1:16" x14ac:dyDescent="0.2">
      <c r="A14" s="8" t="s">
        <v>37</v>
      </c>
      <c r="B14" s="8" t="s">
        <v>38</v>
      </c>
      <c r="C14" s="9">
        <v>44295</v>
      </c>
      <c r="D14" s="8">
        <v>100</v>
      </c>
      <c r="E14" s="17">
        <v>1.1900999999999999</v>
      </c>
      <c r="F14" s="10">
        <v>19.5</v>
      </c>
      <c r="G14" s="11">
        <f t="shared" si="0"/>
        <v>1638.5177716158307</v>
      </c>
      <c r="H14" s="18">
        <f>'[1]auto data'!J14</f>
        <v>18.669699999999999</v>
      </c>
      <c r="I14" s="23">
        <v>0</v>
      </c>
      <c r="J14" s="17">
        <f>J143</f>
        <v>1.193744777366599</v>
      </c>
      <c r="K14" s="11">
        <f>((H14+I14)/J14)*D14</f>
        <v>1563.960769</v>
      </c>
      <c r="L14" s="21">
        <f>(K14-G14)/G14</f>
        <v>-4.5502712211846208E-2</v>
      </c>
      <c r="M14" s="13">
        <f>K14-G14</f>
        <v>-74.557002615830697</v>
      </c>
      <c r="N14" s="14">
        <v>20.2</v>
      </c>
      <c r="O14" s="15">
        <f>(N14+I14)*0.75</f>
        <v>15.149999999999999</v>
      </c>
      <c r="P14" s="20">
        <f>O14-F14</f>
        <v>-4.3500000000000014</v>
      </c>
    </row>
    <row r="15" spans="1:16" x14ac:dyDescent="0.2">
      <c r="A15" s="8" t="s">
        <v>39</v>
      </c>
      <c r="B15" s="8" t="s">
        <v>40</v>
      </c>
      <c r="C15" s="9">
        <v>44313</v>
      </c>
      <c r="D15" s="8">
        <v>1000</v>
      </c>
      <c r="E15" s="17">
        <v>1.4993000000000001</v>
      </c>
      <c r="F15" s="10">
        <v>0.41</v>
      </c>
      <c r="G15" s="11">
        <f t="shared" si="0"/>
        <v>273.46094844260654</v>
      </c>
      <c r="H15" s="18">
        <f>'[1]auto data'!J15</f>
        <v>0.38500000000000001</v>
      </c>
      <c r="I15" s="23">
        <v>0</v>
      </c>
      <c r="J15" s="17">
        <f>J144</f>
        <v>1.467782181124321</v>
      </c>
      <c r="K15" s="11">
        <f>((H15+I15)/J15)*D15</f>
        <v>262.30050000000006</v>
      </c>
      <c r="L15" s="21">
        <f>(K15-G15)/G15</f>
        <v>-4.0811854512194871E-2</v>
      </c>
      <c r="M15" s="13">
        <f>K15-G15</f>
        <v>-11.16044844260648</v>
      </c>
      <c r="N15" s="14">
        <v>0.44</v>
      </c>
      <c r="O15" s="15">
        <f>(N15+I15)*0.66</f>
        <v>0.29039999999999999</v>
      </c>
      <c r="P15" s="20">
        <f>O15-F15</f>
        <v>-0.11959999999999998</v>
      </c>
    </row>
    <row r="16" spans="1:16" x14ac:dyDescent="0.2">
      <c r="A16" s="8" t="s">
        <v>41</v>
      </c>
      <c r="B16" s="8" t="s">
        <v>42</v>
      </c>
      <c r="C16" s="9">
        <v>44341</v>
      </c>
      <c r="D16" s="8">
        <v>100</v>
      </c>
      <c r="E16" s="17">
        <v>1.2256</v>
      </c>
      <c r="F16" s="10">
        <v>4.8899999999999997</v>
      </c>
      <c r="G16" s="11">
        <f t="shared" si="0"/>
        <v>398.98825065274144</v>
      </c>
      <c r="H16" s="18">
        <f>'[1]auto data'!J16</f>
        <v>5.85</v>
      </c>
      <c r="I16" s="23">
        <v>0</v>
      </c>
      <c r="J16" s="17">
        <f>J143</f>
        <v>1.193744777366599</v>
      </c>
      <c r="K16" s="11">
        <f>((H16+I16)/J16)*D16</f>
        <v>490.05450000000002</v>
      </c>
      <c r="L16" s="19">
        <f>(K16-G16)/G16</f>
        <v>0.22824293496932543</v>
      </c>
      <c r="M16" s="13">
        <f>K16-G16</f>
        <v>91.066249347258577</v>
      </c>
      <c r="N16" s="14">
        <v>4.9800000000000004</v>
      </c>
      <c r="O16" s="15">
        <f>(N16+I16)*0.66</f>
        <v>3.2868000000000004</v>
      </c>
      <c r="P16" s="20">
        <f>O16-F16</f>
        <v>-1.6031999999999993</v>
      </c>
    </row>
    <row r="17" spans="1:16" x14ac:dyDescent="0.2">
      <c r="A17" s="8" t="s">
        <v>43</v>
      </c>
      <c r="B17" s="8" t="s">
        <v>44</v>
      </c>
      <c r="C17" s="9">
        <v>44368</v>
      </c>
      <c r="D17" s="8">
        <v>50</v>
      </c>
      <c r="E17" s="17">
        <v>1.1916</v>
      </c>
      <c r="F17" s="10">
        <v>9.7100000000000009</v>
      </c>
      <c r="G17" s="11">
        <f t="shared" si="0"/>
        <v>407.43538100033572</v>
      </c>
      <c r="H17" s="18">
        <f>H75</f>
        <v>8.94</v>
      </c>
      <c r="I17" s="23">
        <v>0</v>
      </c>
      <c r="J17" s="17">
        <f>J143</f>
        <v>1.193744777366599</v>
      </c>
      <c r="K17" s="11">
        <f>((H17+I17)/J17)*D17</f>
        <v>374.45189999999997</v>
      </c>
      <c r="L17" s="21">
        <f>(K17-G17)/G17</f>
        <v>-8.0953894871266904E-2</v>
      </c>
      <c r="M17" s="13">
        <f>K17-G17</f>
        <v>-32.983481000335757</v>
      </c>
      <c r="N17" s="14">
        <v>9.7100000000000009</v>
      </c>
      <c r="O17" s="15">
        <f>(N17+I17)*0.66</f>
        <v>6.4086000000000007</v>
      </c>
      <c r="P17" s="20">
        <f>O17-F17</f>
        <v>-3.3014000000000001</v>
      </c>
    </row>
    <row r="18" spans="1:16" x14ac:dyDescent="0.2">
      <c r="A18" s="8"/>
      <c r="B18" s="8"/>
      <c r="C18" s="9"/>
      <c r="D18" s="8"/>
      <c r="E18" s="17"/>
      <c r="F18" s="10"/>
      <c r="G18" s="11"/>
      <c r="H18" s="18"/>
      <c r="I18" s="23"/>
      <c r="J18" s="17"/>
      <c r="K18" s="11"/>
      <c r="L18" s="19"/>
      <c r="M18" s="13"/>
      <c r="N18" s="14"/>
      <c r="O18" s="15"/>
      <c r="P18" s="20"/>
    </row>
    <row r="19" spans="1:16" x14ac:dyDescent="0.2">
      <c r="A19" s="2" t="s">
        <v>45</v>
      </c>
      <c r="B19" s="8"/>
      <c r="C19" s="9"/>
      <c r="D19" s="8"/>
      <c r="E19" s="17"/>
      <c r="F19" s="10"/>
      <c r="G19" s="11"/>
      <c r="H19" s="24"/>
      <c r="I19" s="23"/>
      <c r="J19" s="8"/>
      <c r="K19" s="11"/>
      <c r="L19" s="19"/>
      <c r="M19" s="13"/>
      <c r="N19" s="14"/>
      <c r="O19" s="15"/>
      <c r="P19" s="20"/>
    </row>
    <row r="20" spans="1:16" x14ac:dyDescent="0.2">
      <c r="A20" s="8" t="s">
        <v>46</v>
      </c>
      <c r="B20" s="8" t="s">
        <v>47</v>
      </c>
      <c r="C20" s="9">
        <v>44054</v>
      </c>
      <c r="D20" s="8">
        <v>200</v>
      </c>
      <c r="E20" s="17">
        <v>1.58</v>
      </c>
      <c r="F20" s="10">
        <v>3.13</v>
      </c>
      <c r="G20" s="11">
        <f t="shared" si="0"/>
        <v>396.20253164556959</v>
      </c>
      <c r="H20" s="18">
        <f>'[1]auto data'!J18</f>
        <v>2.46</v>
      </c>
      <c r="I20" s="8">
        <v>0</v>
      </c>
      <c r="J20" s="17">
        <f>J144</f>
        <v>1.467782181124321</v>
      </c>
      <c r="K20" s="11">
        <f t="shared" ref="K20:K30" si="5">((H20+I20)/J20)*D20</f>
        <v>335.19960000000003</v>
      </c>
      <c r="L20" s="21">
        <f t="shared" ref="L20:L30" si="6">(K20-G20)/G20</f>
        <v>-0.15396906070287525</v>
      </c>
      <c r="M20" s="13">
        <f t="shared" si="1"/>
        <v>-61.002931645569561</v>
      </c>
      <c r="N20" s="14">
        <v>3.65</v>
      </c>
      <c r="O20" s="15">
        <f t="shared" ref="O20:O28" si="7">(N20+I20)*0.5</f>
        <v>1.825</v>
      </c>
      <c r="P20" s="20">
        <f t="shared" ref="P20:P30" si="8">O20-F20</f>
        <v>-1.3049999999999999</v>
      </c>
    </row>
    <row r="21" spans="1:16" x14ac:dyDescent="0.2">
      <c r="A21" s="8" t="s">
        <v>48</v>
      </c>
      <c r="B21" s="8" t="s">
        <v>49</v>
      </c>
      <c r="C21" s="9">
        <v>44054</v>
      </c>
      <c r="D21" s="8">
        <v>1200</v>
      </c>
      <c r="E21" s="17">
        <v>1.53</v>
      </c>
      <c r="F21" s="10">
        <v>0.72499999999999998</v>
      </c>
      <c r="G21" s="11">
        <f t="shared" si="0"/>
        <v>568.62745098039215</v>
      </c>
      <c r="H21" s="18">
        <f>'[1]auto data'!J20</f>
        <v>0.64</v>
      </c>
      <c r="I21" s="8">
        <v>0</v>
      </c>
      <c r="J21" s="17">
        <f>J144</f>
        <v>1.467782181124321</v>
      </c>
      <c r="K21" s="11">
        <f t="shared" si="5"/>
        <v>523.23840000000007</v>
      </c>
      <c r="L21" s="21">
        <f t="shared" si="6"/>
        <v>-7.9822124137930911E-2</v>
      </c>
      <c r="M21" s="13">
        <f t="shared" si="1"/>
        <v>-45.389050980392085</v>
      </c>
      <c r="N21" s="14">
        <v>1.06</v>
      </c>
      <c r="O21" s="15">
        <f t="shared" si="7"/>
        <v>0.53</v>
      </c>
      <c r="P21" s="20">
        <f t="shared" si="8"/>
        <v>-0.19499999999999995</v>
      </c>
    </row>
    <row r="22" spans="1:16" x14ac:dyDescent="0.2">
      <c r="A22" s="8" t="s">
        <v>50</v>
      </c>
      <c r="B22" s="8" t="s">
        <v>51</v>
      </c>
      <c r="C22" s="9">
        <v>44054</v>
      </c>
      <c r="D22" s="8">
        <v>100</v>
      </c>
      <c r="E22" s="17">
        <v>1.58</v>
      </c>
      <c r="F22" s="10">
        <v>3.64</v>
      </c>
      <c r="G22" s="11">
        <f t="shared" si="0"/>
        <v>230.37974683544303</v>
      </c>
      <c r="H22" s="18">
        <f>'[1]auto data'!J21</f>
        <v>3.85</v>
      </c>
      <c r="I22" s="8">
        <v>0</v>
      </c>
      <c r="J22" s="17">
        <f>J144</f>
        <v>1.467782181124321</v>
      </c>
      <c r="K22" s="11">
        <f t="shared" si="5"/>
        <v>262.30050000000006</v>
      </c>
      <c r="L22" s="19">
        <f t="shared" si="6"/>
        <v>0.13855711538461568</v>
      </c>
      <c r="M22" s="13">
        <f t="shared" si="1"/>
        <v>31.920753164557027</v>
      </c>
      <c r="N22" s="14">
        <v>4.3099999999999996</v>
      </c>
      <c r="O22" s="15">
        <f t="shared" si="7"/>
        <v>2.1549999999999998</v>
      </c>
      <c r="P22" s="20">
        <f t="shared" si="8"/>
        <v>-1.4850000000000003</v>
      </c>
    </row>
    <row r="23" spans="1:16" x14ac:dyDescent="0.2">
      <c r="A23" s="8" t="s">
        <v>52</v>
      </c>
      <c r="B23" s="8" t="s">
        <v>53</v>
      </c>
      <c r="C23" s="9">
        <v>44077</v>
      </c>
      <c r="D23" s="8">
        <v>800</v>
      </c>
      <c r="E23" s="17">
        <v>1.55</v>
      </c>
      <c r="F23" s="10">
        <v>0.74</v>
      </c>
      <c r="G23" s="11">
        <f t="shared" si="0"/>
        <v>381.93548387096774</v>
      </c>
      <c r="H23" s="18">
        <f>'[1]auto data'!J22</f>
        <v>0.6</v>
      </c>
      <c r="I23" s="8">
        <v>0</v>
      </c>
      <c r="J23" s="17">
        <f>J144</f>
        <v>1.467782181124321</v>
      </c>
      <c r="K23" s="11">
        <f t="shared" si="5"/>
        <v>327.024</v>
      </c>
      <c r="L23" s="21">
        <f t="shared" si="6"/>
        <v>-0.14377162162162163</v>
      </c>
      <c r="M23" s="13">
        <f t="shared" si="1"/>
        <v>-54.911483870967743</v>
      </c>
      <c r="N23" s="14">
        <v>0.91</v>
      </c>
      <c r="O23" s="15">
        <f t="shared" si="7"/>
        <v>0.45500000000000002</v>
      </c>
      <c r="P23" s="20">
        <f t="shared" si="8"/>
        <v>-0.28499999999999998</v>
      </c>
    </row>
    <row r="24" spans="1:16" x14ac:dyDescent="0.2">
      <c r="A24" s="8" t="s">
        <v>54</v>
      </c>
      <c r="B24" s="8" t="s">
        <v>55</v>
      </c>
      <c r="C24" s="9">
        <v>44096</v>
      </c>
      <c r="D24" s="8">
        <v>500</v>
      </c>
      <c r="E24" s="17">
        <v>1.56</v>
      </c>
      <c r="F24" s="10">
        <v>0.6</v>
      </c>
      <c r="G24" s="11">
        <f t="shared" si="0"/>
        <v>192.30769230769229</v>
      </c>
      <c r="H24" s="18">
        <f>'[1]auto data'!J23</f>
        <v>0.69</v>
      </c>
      <c r="I24" s="8">
        <v>0</v>
      </c>
      <c r="J24" s="17">
        <f>J144</f>
        <v>1.467782181124321</v>
      </c>
      <c r="K24" s="11">
        <f t="shared" si="5"/>
        <v>235.04849999999999</v>
      </c>
      <c r="L24" s="19">
        <f t="shared" si="6"/>
        <v>0.22225220000000004</v>
      </c>
      <c r="M24" s="13">
        <f t="shared" si="1"/>
        <v>42.740807692307698</v>
      </c>
      <c r="N24" s="14">
        <v>0.7</v>
      </c>
      <c r="O24" s="15">
        <f t="shared" si="7"/>
        <v>0.35</v>
      </c>
      <c r="P24" s="20">
        <f t="shared" si="8"/>
        <v>-0.25</v>
      </c>
    </row>
    <row r="25" spans="1:16" x14ac:dyDescent="0.2">
      <c r="A25" s="8" t="s">
        <v>56</v>
      </c>
      <c r="B25" s="8" t="s">
        <v>57</v>
      </c>
      <c r="C25" s="9">
        <v>44088</v>
      </c>
      <c r="D25" s="8">
        <v>2500</v>
      </c>
      <c r="E25" s="17">
        <v>1.56</v>
      </c>
      <c r="F25" s="10">
        <v>0.1958</v>
      </c>
      <c r="G25" s="11">
        <f t="shared" si="0"/>
        <v>313.78205128205127</v>
      </c>
      <c r="H25" s="18">
        <f>'[1]auto data'!J24</f>
        <v>0.14000000000000001</v>
      </c>
      <c r="I25" s="8">
        <v>0</v>
      </c>
      <c r="J25" s="17">
        <f>J144</f>
        <v>1.467782181124321</v>
      </c>
      <c r="K25" s="11">
        <f t="shared" si="5"/>
        <v>238.45500000000007</v>
      </c>
      <c r="L25" s="25">
        <f t="shared" si="6"/>
        <v>-0.24006169560776278</v>
      </c>
      <c r="M25" s="13">
        <f t="shared" si="1"/>
        <v>-75.327051282051201</v>
      </c>
      <c r="N25" s="14">
        <v>0.24</v>
      </c>
      <c r="O25" s="15">
        <f t="shared" si="7"/>
        <v>0.12</v>
      </c>
      <c r="P25" s="20">
        <f t="shared" si="8"/>
        <v>-7.5800000000000006E-2</v>
      </c>
    </row>
    <row r="26" spans="1:16" x14ac:dyDescent="0.2">
      <c r="A26" s="8" t="s">
        <v>58</v>
      </c>
      <c r="B26" s="8" t="s">
        <v>59</v>
      </c>
      <c r="C26" s="9">
        <v>44158</v>
      </c>
      <c r="D26" s="8">
        <v>250</v>
      </c>
      <c r="E26" s="17">
        <v>1.55</v>
      </c>
      <c r="F26" s="10">
        <v>1.32</v>
      </c>
      <c r="G26" s="11">
        <f t="shared" si="0"/>
        <v>212.90322580645162</v>
      </c>
      <c r="H26" s="18">
        <f>'[1]auto data'!J26</f>
        <v>0.7</v>
      </c>
      <c r="I26" s="8">
        <v>0</v>
      </c>
      <c r="J26" s="17">
        <f>J144</f>
        <v>1.467782181124321</v>
      </c>
      <c r="K26" s="11">
        <f t="shared" si="5"/>
        <v>119.22750000000001</v>
      </c>
      <c r="L26" s="21">
        <f t="shared" si="6"/>
        <v>-0.43999204545454546</v>
      </c>
      <c r="M26" s="13">
        <f t="shared" si="1"/>
        <v>-93.675725806451609</v>
      </c>
      <c r="N26" s="14">
        <v>1.78</v>
      </c>
      <c r="O26" s="15">
        <f t="shared" si="7"/>
        <v>0.89</v>
      </c>
      <c r="P26" s="20">
        <f t="shared" si="8"/>
        <v>-0.43000000000000005</v>
      </c>
    </row>
    <row r="27" spans="1:16" x14ac:dyDescent="0.2">
      <c r="A27" s="8" t="s">
        <v>60</v>
      </c>
      <c r="B27" s="8" t="s">
        <v>61</v>
      </c>
      <c r="C27" s="9">
        <v>44159</v>
      </c>
      <c r="D27" s="8">
        <v>300</v>
      </c>
      <c r="E27" s="17">
        <v>1.55</v>
      </c>
      <c r="F27" s="10">
        <v>1.19</v>
      </c>
      <c r="G27" s="11">
        <f t="shared" si="0"/>
        <v>230.32258064516128</v>
      </c>
      <c r="H27" s="18">
        <f>'[1]auto data'!J27</f>
        <v>0.7</v>
      </c>
      <c r="I27" s="8">
        <v>0</v>
      </c>
      <c r="J27" s="17">
        <f>J144</f>
        <v>1.467782181124321</v>
      </c>
      <c r="K27" s="11">
        <f t="shared" si="5"/>
        <v>143.07300000000001</v>
      </c>
      <c r="L27" s="21">
        <f t="shared" si="6"/>
        <v>-0.37881470588235289</v>
      </c>
      <c r="M27" s="13">
        <f t="shared" si="1"/>
        <v>-87.249580645161274</v>
      </c>
      <c r="N27" s="14">
        <v>1.25</v>
      </c>
      <c r="O27" s="15">
        <f t="shared" si="7"/>
        <v>0.625</v>
      </c>
      <c r="P27" s="20">
        <f t="shared" si="8"/>
        <v>-0.56499999999999995</v>
      </c>
    </row>
    <row r="28" spans="1:16" x14ac:dyDescent="0.2">
      <c r="A28" s="8" t="s">
        <v>62</v>
      </c>
      <c r="B28" s="8" t="s">
        <v>63</v>
      </c>
      <c r="C28" s="9">
        <v>44175</v>
      </c>
      <c r="D28" s="8">
        <v>1200</v>
      </c>
      <c r="E28" s="17">
        <v>1.55</v>
      </c>
      <c r="F28" s="10">
        <v>0.3</v>
      </c>
      <c r="G28" s="11">
        <f t="shared" si="0"/>
        <v>232.25806451612902</v>
      </c>
      <c r="H28" s="18">
        <f>'[1]auto data'!J28</f>
        <v>0.17499999999999999</v>
      </c>
      <c r="I28" s="8">
        <v>0</v>
      </c>
      <c r="J28" s="17">
        <f>J144</f>
        <v>1.467782181124321</v>
      </c>
      <c r="K28" s="11">
        <f t="shared" si="5"/>
        <v>143.07300000000001</v>
      </c>
      <c r="L28" s="21">
        <f t="shared" si="6"/>
        <v>-0.38399124999999995</v>
      </c>
      <c r="M28" s="13">
        <f t="shared" si="1"/>
        <v>-89.185064516129017</v>
      </c>
      <c r="N28" s="14">
        <v>0.3</v>
      </c>
      <c r="O28" s="15">
        <f t="shared" si="7"/>
        <v>0.15</v>
      </c>
      <c r="P28" s="20">
        <f t="shared" si="8"/>
        <v>-0.15</v>
      </c>
    </row>
    <row r="29" spans="1:16" x14ac:dyDescent="0.2">
      <c r="A29" s="8" t="s">
        <v>64</v>
      </c>
      <c r="B29" s="8" t="s">
        <v>65</v>
      </c>
      <c r="C29" s="9">
        <v>44203</v>
      </c>
      <c r="D29" s="8">
        <v>300</v>
      </c>
      <c r="E29" s="17">
        <v>1.56</v>
      </c>
      <c r="F29" s="10">
        <v>1.1200000000000001</v>
      </c>
      <c r="G29" s="11">
        <f t="shared" si="0"/>
        <v>215.38461538461542</v>
      </c>
      <c r="H29" s="18">
        <f>'[1]auto data'!J30</f>
        <v>0.86</v>
      </c>
      <c r="I29" s="8">
        <v>0</v>
      </c>
      <c r="J29" s="17">
        <f>J144</f>
        <v>1.467782181124321</v>
      </c>
      <c r="K29" s="11">
        <f t="shared" si="5"/>
        <v>175.77540000000002</v>
      </c>
      <c r="L29" s="21">
        <f t="shared" si="6"/>
        <v>-0.18389992857142859</v>
      </c>
      <c r="M29" s="13">
        <f>K29-G29</f>
        <v>-39.609215384615396</v>
      </c>
      <c r="N29" s="14">
        <v>1.1200000000000001</v>
      </c>
      <c r="O29" s="15">
        <f>(N29+I29)*0.5</f>
        <v>0.56000000000000005</v>
      </c>
      <c r="P29" s="20">
        <f t="shared" si="8"/>
        <v>-0.56000000000000005</v>
      </c>
    </row>
    <row r="30" spans="1:16" x14ac:dyDescent="0.2">
      <c r="A30" s="8" t="s">
        <v>66</v>
      </c>
      <c r="B30" s="8" t="s">
        <v>67</v>
      </c>
      <c r="C30" s="9">
        <v>44216</v>
      </c>
      <c r="D30" s="8">
        <v>300</v>
      </c>
      <c r="E30" s="17">
        <v>1.55</v>
      </c>
      <c r="F30" s="10">
        <v>1.59</v>
      </c>
      <c r="G30" s="11">
        <f t="shared" si="0"/>
        <v>307.74193548387098</v>
      </c>
      <c r="H30" s="18">
        <f>'[1]auto data'!J31</f>
        <v>2.6</v>
      </c>
      <c r="I30" s="8">
        <v>0</v>
      </c>
      <c r="J30" s="17">
        <f>J144</f>
        <v>1.467782181124321</v>
      </c>
      <c r="K30" s="11">
        <f t="shared" si="5"/>
        <v>531.4140000000001</v>
      </c>
      <c r="L30" s="19">
        <f t="shared" si="6"/>
        <v>0.72681698113207571</v>
      </c>
      <c r="M30" s="13">
        <f>K30-G30</f>
        <v>223.67206451612913</v>
      </c>
      <c r="N30" s="14">
        <v>2.73</v>
      </c>
      <c r="O30" s="15">
        <f>(N30+I30)*0.5</f>
        <v>1.365</v>
      </c>
      <c r="P30" s="20">
        <f t="shared" si="8"/>
        <v>-0.22500000000000009</v>
      </c>
    </row>
    <row r="31" spans="1:16" x14ac:dyDescent="0.2">
      <c r="A31" s="2" t="s">
        <v>68</v>
      </c>
      <c r="B31" s="8"/>
      <c r="C31" s="9"/>
      <c r="D31" s="8"/>
      <c r="E31" s="17"/>
      <c r="F31" s="10"/>
      <c r="G31" s="11"/>
      <c r="H31" s="8"/>
      <c r="I31" s="8"/>
      <c r="J31" s="8"/>
      <c r="K31" s="11"/>
      <c r="L31" s="12"/>
      <c r="M31" s="13"/>
      <c r="N31" s="14"/>
      <c r="O31" s="15"/>
      <c r="P31" s="16"/>
    </row>
    <row r="32" spans="1:16" x14ac:dyDescent="0.2">
      <c r="A32" s="8" t="s">
        <v>69</v>
      </c>
      <c r="B32" s="8" t="s">
        <v>70</v>
      </c>
      <c r="C32" s="9">
        <v>43906</v>
      </c>
      <c r="D32" s="8">
        <v>900</v>
      </c>
      <c r="E32" s="17">
        <v>1.1200000000000001</v>
      </c>
      <c r="F32" s="10">
        <v>2.5</v>
      </c>
      <c r="G32" s="11">
        <f t="shared" si="0"/>
        <v>2008.9285714285713</v>
      </c>
      <c r="H32" s="26">
        <f>'[1]auto data'!G3</f>
        <v>4.0599999999999996</v>
      </c>
      <c r="I32" s="23">
        <f>[1]Dividend!P7</f>
        <v>0.51</v>
      </c>
      <c r="J32" s="17">
        <f>J143</f>
        <v>1.193744777366599</v>
      </c>
      <c r="K32" s="11">
        <f>((H32+I32)/J32)*D32</f>
        <v>3445.4600999999993</v>
      </c>
      <c r="L32" s="19">
        <f>(K32-G32)/G32</f>
        <v>0.71507347199999971</v>
      </c>
      <c r="M32" s="13">
        <f t="shared" si="1"/>
        <v>1436.531528571428</v>
      </c>
      <c r="N32" s="14">
        <v>4.25</v>
      </c>
      <c r="O32" s="15">
        <f>(N32+I32)*0.75</f>
        <v>3.57</v>
      </c>
      <c r="P32" s="27">
        <f>O32-F32</f>
        <v>1.0699999999999998</v>
      </c>
    </row>
    <row r="33" spans="1:16" x14ac:dyDescent="0.2">
      <c r="A33" s="8" t="s">
        <v>71</v>
      </c>
      <c r="B33" s="8" t="s">
        <v>72</v>
      </c>
      <c r="C33" s="9">
        <v>44103</v>
      </c>
      <c r="D33" s="8">
        <v>750</v>
      </c>
      <c r="E33" s="17">
        <v>1.175</v>
      </c>
      <c r="F33" s="10">
        <v>5.03</v>
      </c>
      <c r="G33" s="11">
        <f t="shared" si="0"/>
        <v>3210.6382978723404</v>
      </c>
      <c r="H33" s="26">
        <f>'[1]auto data'!G4</f>
        <v>5.6</v>
      </c>
      <c r="I33" s="23">
        <f>[1]Dividend!P8</f>
        <v>0.3</v>
      </c>
      <c r="J33" s="17">
        <f>J143</f>
        <v>1.193744777366599</v>
      </c>
      <c r="K33" s="11">
        <f>((H33+I33)/J33)*D33</f>
        <v>3706.8224999999998</v>
      </c>
      <c r="L33" s="19">
        <f>(K33-G33)/G33</f>
        <v>0.15454378727634185</v>
      </c>
      <c r="M33" s="13">
        <f t="shared" si="1"/>
        <v>496.18420212765932</v>
      </c>
      <c r="N33" s="28">
        <v>5.95</v>
      </c>
      <c r="O33" s="15">
        <f>(N33+I33)*0.75</f>
        <v>4.6875</v>
      </c>
      <c r="P33" s="20">
        <f>O33-F33</f>
        <v>-0.34250000000000025</v>
      </c>
    </row>
    <row r="34" spans="1:16" x14ac:dyDescent="0.2">
      <c r="A34" s="8" t="s">
        <v>73</v>
      </c>
      <c r="B34" s="8" t="s">
        <v>74</v>
      </c>
      <c r="C34" s="9">
        <v>44137</v>
      </c>
      <c r="D34" s="8">
        <v>30</v>
      </c>
      <c r="E34" s="17">
        <v>1.1639999999999999</v>
      </c>
      <c r="F34" s="10">
        <v>36.47</v>
      </c>
      <c r="G34" s="11">
        <f t="shared" si="0"/>
        <v>939.94845360824741</v>
      </c>
      <c r="H34" s="26">
        <f>'[1]auto data'!G5</f>
        <v>47.62</v>
      </c>
      <c r="I34" s="23">
        <f>[1]Dividend!P11</f>
        <v>1.72</v>
      </c>
      <c r="J34" s="17">
        <f>J143</f>
        <v>1.193744777366599</v>
      </c>
      <c r="K34" s="11">
        <f>((H34+I34)/J34)*D34</f>
        <v>1239.9635399999997</v>
      </c>
      <c r="L34" s="19">
        <f>(K34-G34)/G34</f>
        <v>0.3191824884014256</v>
      </c>
      <c r="M34" s="13">
        <f t="shared" si="1"/>
        <v>300.01508639175233</v>
      </c>
      <c r="N34" s="14">
        <v>52.5</v>
      </c>
      <c r="O34" s="15">
        <f>(N34+I34)*0.75</f>
        <v>40.664999999999999</v>
      </c>
      <c r="P34" s="27">
        <f>O34-F34</f>
        <v>4.1950000000000003</v>
      </c>
    </row>
    <row r="35" spans="1:16" x14ac:dyDescent="0.2">
      <c r="A35" s="8" t="s">
        <v>75</v>
      </c>
      <c r="B35" s="8" t="s">
        <v>76</v>
      </c>
      <c r="C35" s="9">
        <v>44165</v>
      </c>
      <c r="D35" s="8">
        <v>100</v>
      </c>
      <c r="E35" s="17">
        <v>1.1944999999999999</v>
      </c>
      <c r="F35" s="10">
        <v>33.25</v>
      </c>
      <c r="G35" s="11">
        <f t="shared" si="0"/>
        <v>2783.5914608622857</v>
      </c>
      <c r="H35" s="26">
        <f>'[1]auto data'!G6</f>
        <v>34.36</v>
      </c>
      <c r="I35" s="23">
        <f>[1]Dividend!P12</f>
        <v>0.72</v>
      </c>
      <c r="J35" s="17">
        <f>J143</f>
        <v>1.193744777366599</v>
      </c>
      <c r="K35" s="11">
        <f>((H35+I35)/J35)*D35</f>
        <v>2938.6516000000001</v>
      </c>
      <c r="L35" s="19">
        <f>(K35-G35)/G35</f>
        <v>5.5705063518796977E-2</v>
      </c>
      <c r="M35" s="13">
        <f t="shared" si="1"/>
        <v>155.06013913771449</v>
      </c>
      <c r="N35" s="28">
        <v>35.01</v>
      </c>
      <c r="O35" s="15">
        <f>(N35+I35)*0.75</f>
        <v>26.797499999999999</v>
      </c>
      <c r="P35" s="20">
        <f>O35-F35</f>
        <v>-6.4525000000000006</v>
      </c>
    </row>
    <row r="36" spans="1:16" x14ac:dyDescent="0.2">
      <c r="A36" s="2" t="s">
        <v>77</v>
      </c>
      <c r="B36" s="8"/>
      <c r="C36" s="9"/>
      <c r="D36" s="8"/>
      <c r="E36" s="17"/>
      <c r="F36" s="10"/>
      <c r="G36" s="29"/>
      <c r="H36" s="30"/>
      <c r="I36" s="8"/>
      <c r="J36" s="8"/>
      <c r="K36" s="31"/>
      <c r="L36" s="12"/>
      <c r="M36" s="13"/>
      <c r="N36" s="28"/>
      <c r="O36" s="15"/>
      <c r="P36" s="16"/>
    </row>
    <row r="37" spans="1:16" x14ac:dyDescent="0.2">
      <c r="A37" s="8" t="s">
        <v>78</v>
      </c>
      <c r="B37" s="8" t="s">
        <v>79</v>
      </c>
      <c r="C37" s="9">
        <v>44229</v>
      </c>
      <c r="D37" s="8">
        <v>150</v>
      </c>
      <c r="E37" s="17">
        <v>1.55</v>
      </c>
      <c r="F37" s="10">
        <v>2</v>
      </c>
      <c r="G37" s="11">
        <f t="shared" si="0"/>
        <v>193.54838709677418</v>
      </c>
      <c r="H37" s="32">
        <f>'[1]auto data'!M3</f>
        <v>2.79</v>
      </c>
      <c r="I37" s="8">
        <v>0</v>
      </c>
      <c r="J37" s="17">
        <f>J144</f>
        <v>1.467782181124321</v>
      </c>
      <c r="K37" s="11">
        <f t="shared" ref="K37:K43" si="9">((H37+I37)/J37)*D37</f>
        <v>285.12405000000007</v>
      </c>
      <c r="L37" s="19">
        <f t="shared" ref="L37:L43" si="10">(K37-G37)/G37</f>
        <v>0.47314092500000049</v>
      </c>
      <c r="M37" s="13">
        <f t="shared" ref="M37:M43" si="11">K37-G37</f>
        <v>91.57566290322589</v>
      </c>
      <c r="N37" s="14">
        <v>3</v>
      </c>
      <c r="O37" s="15">
        <f t="shared" ref="O37:O43" si="12">(N37+I37)*0.5</f>
        <v>1.5</v>
      </c>
      <c r="P37" s="20">
        <f t="shared" ref="P37:P43" si="13">O37-F37</f>
        <v>-0.5</v>
      </c>
    </row>
    <row r="38" spans="1:16" x14ac:dyDescent="0.2">
      <c r="A38" s="8" t="s">
        <v>80</v>
      </c>
      <c r="B38" s="8" t="s">
        <v>81</v>
      </c>
      <c r="C38" s="9">
        <v>44253</v>
      </c>
      <c r="D38" s="8">
        <v>500</v>
      </c>
      <c r="E38" s="17">
        <v>1.54</v>
      </c>
      <c r="F38" s="10">
        <v>1.01</v>
      </c>
      <c r="G38" s="11">
        <f t="shared" si="0"/>
        <v>327.9220779220779</v>
      </c>
      <c r="H38" s="32">
        <f>'[1]auto data'!M4</f>
        <v>1.32</v>
      </c>
      <c r="I38" s="8">
        <v>0</v>
      </c>
      <c r="J38" s="17">
        <f>J144</f>
        <v>1.467782181124321</v>
      </c>
      <c r="K38" s="11">
        <f t="shared" si="9"/>
        <v>449.65800000000007</v>
      </c>
      <c r="L38" s="19">
        <f t="shared" si="10"/>
        <v>0.37123429702970329</v>
      </c>
      <c r="M38" s="13">
        <f t="shared" si="11"/>
        <v>121.73592207792217</v>
      </c>
      <c r="N38" s="14">
        <v>1.37</v>
      </c>
      <c r="O38" s="15">
        <f t="shared" si="12"/>
        <v>0.68500000000000005</v>
      </c>
      <c r="P38" s="20">
        <f t="shared" si="13"/>
        <v>-0.32499999999999996</v>
      </c>
    </row>
    <row r="39" spans="1:16" x14ac:dyDescent="0.2">
      <c r="A39" s="8" t="s">
        <v>82</v>
      </c>
      <c r="B39" s="8" t="s">
        <v>83</v>
      </c>
      <c r="C39" s="9">
        <v>44270</v>
      </c>
      <c r="D39" s="8">
        <v>150</v>
      </c>
      <c r="E39" s="17">
        <v>1.49</v>
      </c>
      <c r="F39" s="10">
        <v>2.19</v>
      </c>
      <c r="G39" s="11">
        <f t="shared" si="0"/>
        <v>220.46979865771812</v>
      </c>
      <c r="H39" s="32">
        <f>'[1]auto data'!M5</f>
        <v>2.94</v>
      </c>
      <c r="I39" s="8">
        <v>0</v>
      </c>
      <c r="J39" s="17">
        <f>J144</f>
        <v>1.467782181124321</v>
      </c>
      <c r="K39" s="11">
        <f t="shared" si="9"/>
        <v>300.45330000000001</v>
      </c>
      <c r="L39" s="19">
        <f t="shared" si="10"/>
        <v>0.36278665753424666</v>
      </c>
      <c r="M39" s="13">
        <f t="shared" si="11"/>
        <v>79.983501342281897</v>
      </c>
      <c r="N39" s="14">
        <v>3.2</v>
      </c>
      <c r="O39" s="15">
        <f t="shared" si="12"/>
        <v>1.6</v>
      </c>
      <c r="P39" s="20">
        <f t="shared" si="13"/>
        <v>-0.58999999999999986</v>
      </c>
    </row>
    <row r="40" spans="1:16" x14ac:dyDescent="0.2">
      <c r="A40" s="8" t="s">
        <v>84</v>
      </c>
      <c r="B40" s="8" t="s">
        <v>85</v>
      </c>
      <c r="C40" s="9">
        <v>44278</v>
      </c>
      <c r="D40" s="8">
        <v>100</v>
      </c>
      <c r="E40" s="17">
        <v>1.1924999999999999</v>
      </c>
      <c r="F40" s="10">
        <v>5.47</v>
      </c>
      <c r="G40" s="11">
        <f t="shared" si="0"/>
        <v>458.70020964360589</v>
      </c>
      <c r="H40" s="32">
        <f>'[1]auto data'!M6</f>
        <v>6.11</v>
      </c>
      <c r="I40" s="8">
        <v>0</v>
      </c>
      <c r="J40" s="17">
        <f>J143</f>
        <v>1.193744777366599</v>
      </c>
      <c r="K40" s="11">
        <f t="shared" si="9"/>
        <v>511.8347</v>
      </c>
      <c r="L40" s="19">
        <f t="shared" si="10"/>
        <v>0.11583707449725772</v>
      </c>
      <c r="M40" s="13">
        <f t="shared" si="11"/>
        <v>53.13449035639411</v>
      </c>
      <c r="N40" s="14">
        <v>7.03</v>
      </c>
      <c r="O40" s="15">
        <f t="shared" si="12"/>
        <v>3.5150000000000001</v>
      </c>
      <c r="P40" s="20">
        <f t="shared" si="13"/>
        <v>-1.9549999999999996</v>
      </c>
    </row>
    <row r="41" spans="1:16" x14ac:dyDescent="0.2">
      <c r="A41" s="8" t="s">
        <v>86</v>
      </c>
      <c r="B41" s="8" t="s">
        <v>87</v>
      </c>
      <c r="C41" s="9">
        <v>44281</v>
      </c>
      <c r="D41" s="8">
        <v>4000</v>
      </c>
      <c r="E41" s="17">
        <v>1.55</v>
      </c>
      <c r="F41" s="10">
        <v>0.13</v>
      </c>
      <c r="G41" s="11">
        <f t="shared" si="0"/>
        <v>335.48387096774195</v>
      </c>
      <c r="H41" s="32">
        <f>'[1]auto data'!M7</f>
        <v>0.16500000000000001</v>
      </c>
      <c r="I41" s="8">
        <v>0</v>
      </c>
      <c r="J41" s="17">
        <f>J145</f>
        <v>1.5735641227380017</v>
      </c>
      <c r="K41" s="11">
        <f t="shared" si="9"/>
        <v>419.42999999999995</v>
      </c>
      <c r="L41" s="19">
        <f t="shared" si="10"/>
        <v>0.25022403846153823</v>
      </c>
      <c r="M41" s="13">
        <f t="shared" si="11"/>
        <v>83.946129032258</v>
      </c>
      <c r="N41" s="14">
        <v>0.21</v>
      </c>
      <c r="O41" s="15">
        <f t="shared" si="12"/>
        <v>0.105</v>
      </c>
      <c r="P41" s="20">
        <f t="shared" si="13"/>
        <v>-2.5000000000000008E-2</v>
      </c>
    </row>
    <row r="42" spans="1:16" x14ac:dyDescent="0.2">
      <c r="A42" s="8" t="s">
        <v>88</v>
      </c>
      <c r="B42" s="8" t="s">
        <v>89</v>
      </c>
      <c r="C42" s="9">
        <v>44285</v>
      </c>
      <c r="D42" s="8">
        <v>300</v>
      </c>
      <c r="E42" s="17">
        <v>1.48</v>
      </c>
      <c r="F42" s="10">
        <v>1.21</v>
      </c>
      <c r="G42" s="11">
        <f t="shared" si="0"/>
        <v>245.27027027027026</v>
      </c>
      <c r="H42" s="32">
        <f>'[1]auto data'!M8</f>
        <v>1.4</v>
      </c>
      <c r="I42" s="8">
        <v>0</v>
      </c>
      <c r="J42" s="17">
        <f>J144</f>
        <v>1.467782181124321</v>
      </c>
      <c r="K42" s="11">
        <f t="shared" si="9"/>
        <v>286.14600000000002</v>
      </c>
      <c r="L42" s="19">
        <f t="shared" si="10"/>
        <v>0.16665586776859515</v>
      </c>
      <c r="M42" s="13">
        <f t="shared" si="11"/>
        <v>40.875729729729755</v>
      </c>
      <c r="N42" s="14">
        <v>1.55</v>
      </c>
      <c r="O42" s="15">
        <f t="shared" si="12"/>
        <v>0.77500000000000002</v>
      </c>
      <c r="P42" s="20">
        <f t="shared" si="13"/>
        <v>-0.43499999999999994</v>
      </c>
    </row>
    <row r="43" spans="1:16" x14ac:dyDescent="0.2">
      <c r="A43" s="8" t="s">
        <v>90</v>
      </c>
      <c r="B43" s="8" t="s">
        <v>91</v>
      </c>
      <c r="C43" s="9">
        <v>44287</v>
      </c>
      <c r="D43" s="8">
        <v>1500</v>
      </c>
      <c r="E43" s="17">
        <v>1.55</v>
      </c>
      <c r="F43" s="10">
        <v>0.37</v>
      </c>
      <c r="G43" s="11">
        <f t="shared" si="0"/>
        <v>358.06451612903226</v>
      </c>
      <c r="H43" s="32">
        <f>'[1]auto data'!M9</f>
        <v>0.49</v>
      </c>
      <c r="I43" s="8">
        <v>0</v>
      </c>
      <c r="J43" s="17">
        <f>J145</f>
        <v>1.5735641227380017</v>
      </c>
      <c r="K43" s="11">
        <f t="shared" si="9"/>
        <v>467.09249999999997</v>
      </c>
      <c r="L43" s="19">
        <f t="shared" si="10"/>
        <v>0.30449256756756748</v>
      </c>
      <c r="M43" s="13">
        <f t="shared" si="11"/>
        <v>109.02798387096772</v>
      </c>
      <c r="N43" s="14">
        <v>0.6</v>
      </c>
      <c r="O43" s="15">
        <f t="shared" si="12"/>
        <v>0.3</v>
      </c>
      <c r="P43" s="20">
        <f t="shared" si="13"/>
        <v>-7.0000000000000007E-2</v>
      </c>
    </row>
    <row r="44" spans="1:16" x14ac:dyDescent="0.2">
      <c r="A44" s="8" t="s">
        <v>92</v>
      </c>
      <c r="B44" s="8" t="s">
        <v>93</v>
      </c>
      <c r="C44" s="9">
        <v>44321</v>
      </c>
      <c r="D44" s="8">
        <v>3000</v>
      </c>
      <c r="E44" s="17">
        <v>1.4799</v>
      </c>
      <c r="F44" s="10">
        <v>0.1</v>
      </c>
      <c r="G44" s="11">
        <f t="shared" si="0"/>
        <v>202.71639975674032</v>
      </c>
      <c r="H44" s="32">
        <f>'[1]auto data'!M10</f>
        <v>0.155</v>
      </c>
      <c r="I44" s="8">
        <v>0</v>
      </c>
      <c r="J44" s="17">
        <f>J144</f>
        <v>1.467782181124321</v>
      </c>
      <c r="K44" s="11">
        <f>((H44+I44)/J44)*D44</f>
        <v>316.80450000000002</v>
      </c>
      <c r="L44" s="19">
        <f>(K44-G44)/G44</f>
        <v>0.56279659850000008</v>
      </c>
      <c r="M44" s="13">
        <f>K44-G44</f>
        <v>114.0881002432597</v>
      </c>
      <c r="N44" s="14">
        <v>0.16500000000000001</v>
      </c>
      <c r="O44" s="15">
        <f>(N44+I44)*0.5</f>
        <v>8.2500000000000004E-2</v>
      </c>
      <c r="P44" s="20">
        <f>O44-F44</f>
        <v>-1.7500000000000002E-2</v>
      </c>
    </row>
    <row r="45" spans="1:16" x14ac:dyDescent="0.2">
      <c r="A45" s="8" t="s">
        <v>94</v>
      </c>
      <c r="B45" s="8" t="s">
        <v>95</v>
      </c>
      <c r="C45" s="9">
        <v>44321</v>
      </c>
      <c r="D45" s="8">
        <v>4000</v>
      </c>
      <c r="E45" s="17">
        <v>1.5603</v>
      </c>
      <c r="F45" s="10">
        <v>0.14000000000000001</v>
      </c>
      <c r="G45" s="11">
        <f t="shared" si="0"/>
        <v>358.90533871691343</v>
      </c>
      <c r="H45" s="32">
        <f>'[1]auto data'!M11</f>
        <v>0.16</v>
      </c>
      <c r="I45" s="8">
        <v>0</v>
      </c>
      <c r="J45" s="17">
        <f>J145</f>
        <v>1.5735641227380017</v>
      </c>
      <c r="K45" s="11">
        <f>((H45+I45)/J45)*D45</f>
        <v>406.71999999999997</v>
      </c>
      <c r="L45" s="19">
        <f>(K45-G45)/G45</f>
        <v>0.13322359999999986</v>
      </c>
      <c r="M45" s="13">
        <f>K45-G45</f>
        <v>47.814661283086537</v>
      </c>
      <c r="N45" s="14">
        <v>0.18</v>
      </c>
      <c r="O45" s="15">
        <f>(N45+I45)*0.5</f>
        <v>0.09</v>
      </c>
      <c r="P45" s="20">
        <f>O45-F45</f>
        <v>-5.0000000000000017E-2</v>
      </c>
    </row>
    <row r="46" spans="1:16" x14ac:dyDescent="0.2">
      <c r="A46" s="8" t="s">
        <v>96</v>
      </c>
      <c r="B46" s="8" t="s">
        <v>97</v>
      </c>
      <c r="C46" s="9">
        <v>44350</v>
      </c>
      <c r="D46" s="8">
        <v>3000</v>
      </c>
      <c r="E46" s="17">
        <v>1.57</v>
      </c>
      <c r="F46" s="10">
        <v>0.17499999999999999</v>
      </c>
      <c r="G46" s="11">
        <f t="shared" si="0"/>
        <v>334.39490445859872</v>
      </c>
      <c r="H46" s="32">
        <f>'[1]auto data'!M12</f>
        <v>0.16500000000000001</v>
      </c>
      <c r="I46" s="8">
        <v>0</v>
      </c>
      <c r="J46" s="17">
        <f>J145</f>
        <v>1.5735641227380017</v>
      </c>
      <c r="K46" s="11">
        <f>((H46+I46)/J46)*D46</f>
        <v>314.57249999999999</v>
      </c>
      <c r="L46" s="21">
        <f>(K46-G46)/G46</f>
        <v>-5.9278428571428572E-2</v>
      </c>
      <c r="M46" s="13">
        <f>K46-G46</f>
        <v>-19.822404458598726</v>
      </c>
      <c r="N46" s="14">
        <v>1.17</v>
      </c>
      <c r="O46" s="15">
        <f>(N46+I46)*0.5</f>
        <v>0.58499999999999996</v>
      </c>
      <c r="P46" s="20">
        <f>O46-F46</f>
        <v>0.41</v>
      </c>
    </row>
    <row r="47" spans="1:16" x14ac:dyDescent="0.2">
      <c r="A47" s="8" t="s">
        <v>98</v>
      </c>
      <c r="B47" s="8" t="s">
        <v>99</v>
      </c>
      <c r="C47" s="9">
        <v>44354</v>
      </c>
      <c r="D47" s="8">
        <v>1000</v>
      </c>
      <c r="E47" s="17">
        <v>1.4715</v>
      </c>
      <c r="F47" s="10">
        <v>0.46</v>
      </c>
      <c r="G47" s="11">
        <f t="shared" si="0"/>
        <v>312.60618416581718</v>
      </c>
      <c r="H47" s="32">
        <f>'[1]auto data'!M13</f>
        <v>0.38</v>
      </c>
      <c r="I47" s="8">
        <v>0</v>
      </c>
      <c r="J47" s="17">
        <f>J144</f>
        <v>1.467782181124321</v>
      </c>
      <c r="K47" s="11">
        <f>((H47+I47)/J47)*D47</f>
        <v>258.89400000000001</v>
      </c>
      <c r="L47" s="21">
        <f>(K47-G47)/G47</f>
        <v>-0.17182060652173908</v>
      </c>
      <c r="M47" s="13">
        <f>K47-G47</f>
        <v>-53.712184165817177</v>
      </c>
      <c r="N47" s="14">
        <v>0.46500000000000002</v>
      </c>
      <c r="O47" s="15">
        <f>(N47+I47)*0.5</f>
        <v>0.23250000000000001</v>
      </c>
      <c r="P47" s="20">
        <f>O47-F47</f>
        <v>-0.22750000000000001</v>
      </c>
    </row>
    <row r="48" spans="1:16" x14ac:dyDescent="0.2">
      <c r="A48" s="2" t="s">
        <v>100</v>
      </c>
      <c r="B48" s="8"/>
      <c r="C48" s="9"/>
      <c r="D48" s="8"/>
      <c r="E48" s="17"/>
      <c r="F48" s="8"/>
      <c r="G48" s="11"/>
      <c r="H48" s="28"/>
      <c r="I48" s="8"/>
      <c r="J48" s="8"/>
      <c r="K48" s="11"/>
      <c r="L48" s="12"/>
      <c r="M48" s="13"/>
      <c r="N48" s="28"/>
      <c r="O48" s="15"/>
      <c r="P48" s="16"/>
    </row>
    <row r="49" spans="1:16" x14ac:dyDescent="0.2">
      <c r="A49" s="8" t="s">
        <v>101</v>
      </c>
      <c r="B49" s="8" t="s">
        <v>102</v>
      </c>
      <c r="C49" s="9">
        <v>44187</v>
      </c>
      <c r="D49" s="8">
        <v>100</v>
      </c>
      <c r="E49" s="17">
        <v>1.57</v>
      </c>
      <c r="F49" s="23">
        <v>3</v>
      </c>
      <c r="G49" s="11">
        <f t="shared" si="0"/>
        <v>191.08280254777068</v>
      </c>
      <c r="H49" s="33">
        <f>'[1]auto data'!P4</f>
        <v>2.9</v>
      </c>
      <c r="I49" s="8">
        <v>0</v>
      </c>
      <c r="J49" s="17">
        <f>J144</f>
        <v>1.467782181124321</v>
      </c>
      <c r="K49" s="11">
        <f>((H49+I49)/J49)*D49</f>
        <v>197.577</v>
      </c>
      <c r="L49" s="19">
        <f>(K49-G49)/G49</f>
        <v>3.3986300000000087E-2</v>
      </c>
      <c r="M49" s="13">
        <f>K49-G49</f>
        <v>6.4941974522293151</v>
      </c>
      <c r="N49" s="14">
        <v>5.3</v>
      </c>
      <c r="O49" s="15">
        <f>(N49+I49)*0.5</f>
        <v>2.65</v>
      </c>
      <c r="P49" s="20">
        <f>O49-F49</f>
        <v>-0.35000000000000009</v>
      </c>
    </row>
    <row r="50" spans="1:16" x14ac:dyDescent="0.2">
      <c r="A50" s="8" t="s">
        <v>103</v>
      </c>
      <c r="B50" s="8" t="s">
        <v>104</v>
      </c>
      <c r="C50" s="9">
        <v>44246</v>
      </c>
      <c r="D50" s="8">
        <v>1000</v>
      </c>
      <c r="E50" s="17">
        <v>1.54</v>
      </c>
      <c r="F50" s="23">
        <v>0.34</v>
      </c>
      <c r="G50" s="11">
        <f t="shared" si="0"/>
        <v>220.77922077922076</v>
      </c>
      <c r="H50" s="33">
        <f>'[1]auto data'!P5</f>
        <v>0.46</v>
      </c>
      <c r="I50" s="8">
        <v>0</v>
      </c>
      <c r="J50" s="17">
        <f>J144</f>
        <v>1.467782181124321</v>
      </c>
      <c r="K50" s="11">
        <f>((H50+I50)/J50)*D50</f>
        <v>313.39800000000008</v>
      </c>
      <c r="L50" s="19">
        <f>(K50-G50)/G50</f>
        <v>0.41950858823529458</v>
      </c>
      <c r="M50" s="13">
        <f>K50-G50</f>
        <v>92.618779220779317</v>
      </c>
      <c r="N50" s="14">
        <v>0.4</v>
      </c>
      <c r="O50" s="15">
        <f>(N50+I50)*0.33</f>
        <v>0.13200000000000001</v>
      </c>
      <c r="P50" s="20">
        <f>O50-F50</f>
        <v>-0.20800000000000002</v>
      </c>
    </row>
    <row r="51" spans="1:16" x14ac:dyDescent="0.2">
      <c r="A51" s="2" t="s">
        <v>105</v>
      </c>
      <c r="B51" s="8"/>
      <c r="C51" s="9"/>
      <c r="D51" s="8"/>
      <c r="E51" s="17"/>
      <c r="F51" s="8"/>
      <c r="G51" s="11"/>
      <c r="H51" s="14"/>
      <c r="I51" s="8"/>
      <c r="J51" s="17"/>
      <c r="K51" s="11"/>
      <c r="L51" s="19"/>
      <c r="M51" s="13"/>
      <c r="N51" s="28"/>
      <c r="O51" s="15"/>
      <c r="P51" s="20"/>
    </row>
    <row r="52" spans="1:16" x14ac:dyDescent="0.2">
      <c r="A52" s="28" t="s">
        <v>106</v>
      </c>
      <c r="B52" s="8" t="s">
        <v>107</v>
      </c>
      <c r="C52" s="9">
        <v>44033</v>
      </c>
      <c r="D52" s="8">
        <v>1</v>
      </c>
      <c r="E52" s="17">
        <v>1.145</v>
      </c>
      <c r="F52" s="10">
        <v>-261</v>
      </c>
      <c r="G52" s="11">
        <f>(F52*D52)/E52</f>
        <v>-227.94759825327512</v>
      </c>
      <c r="H52" s="34">
        <v>-125</v>
      </c>
      <c r="I52" s="8">
        <v>0</v>
      </c>
      <c r="J52" s="17">
        <f>J143</f>
        <v>1.193744777366599</v>
      </c>
      <c r="K52" s="11">
        <f>((H52+I52)/J52)*D52</f>
        <v>-104.71250000000001</v>
      </c>
      <c r="L52" s="19">
        <f>-(K52-G52)/G52</f>
        <v>0.54062907088122603</v>
      </c>
      <c r="M52" s="13">
        <f>K52-G52</f>
        <v>123.23509825327511</v>
      </c>
      <c r="N52" s="28"/>
      <c r="O52" s="15"/>
      <c r="P52" s="20" t="s">
        <v>108</v>
      </c>
    </row>
    <row r="53" spans="1:16" x14ac:dyDescent="0.2">
      <c r="A53" s="28" t="s">
        <v>109</v>
      </c>
      <c r="B53" s="8" t="s">
        <v>24</v>
      </c>
      <c r="C53" s="9">
        <v>44946</v>
      </c>
      <c r="D53" s="8">
        <v>2</v>
      </c>
      <c r="E53" s="17">
        <v>1.2199</v>
      </c>
      <c r="F53" s="8">
        <v>-240</v>
      </c>
      <c r="G53" s="11">
        <f>(F53*D53)/E53</f>
        <v>-393.47487498975329</v>
      </c>
      <c r="H53" s="35">
        <v>-134</v>
      </c>
      <c r="I53" s="8">
        <v>0</v>
      </c>
      <c r="J53" s="17">
        <f>J143</f>
        <v>1.193744777366599</v>
      </c>
      <c r="K53" s="11">
        <f>((H53+I53)/J53)*D53</f>
        <v>-224.50360000000001</v>
      </c>
      <c r="L53" s="19">
        <f>-(K53-G53)/G53</f>
        <v>0.42943345491666668</v>
      </c>
      <c r="M53" s="13">
        <f>K53-G53</f>
        <v>168.97127498975328</v>
      </c>
      <c r="N53" s="28"/>
      <c r="O53" s="15"/>
      <c r="P53" s="20"/>
    </row>
    <row r="54" spans="1:16" x14ac:dyDescent="0.2">
      <c r="A54" s="28" t="s">
        <v>110</v>
      </c>
      <c r="B54" s="8" t="s">
        <v>85</v>
      </c>
      <c r="C54" s="9">
        <v>44946</v>
      </c>
      <c r="D54" s="8">
        <v>1</v>
      </c>
      <c r="E54" s="17">
        <v>1.2027000000000001</v>
      </c>
      <c r="F54" s="8">
        <v>-225</v>
      </c>
      <c r="G54" s="11">
        <f>(F54*D54)/E54</f>
        <v>-187.07907208780242</v>
      </c>
      <c r="H54" s="35">
        <v>-177</v>
      </c>
      <c r="I54" s="8">
        <v>0</v>
      </c>
      <c r="J54" s="17">
        <f>J143</f>
        <v>1.193744777366599</v>
      </c>
      <c r="K54" s="11">
        <f>((H54+I54)/J54)*D54</f>
        <v>-148.27289999999999</v>
      </c>
      <c r="L54" s="19">
        <f>-(K54-G54)/G54</f>
        <v>0.20743192519999992</v>
      </c>
      <c r="M54" s="13">
        <f>K54-G54</f>
        <v>38.806172087802423</v>
      </c>
      <c r="N54" s="28"/>
      <c r="O54" s="15"/>
      <c r="P54" s="20"/>
    </row>
    <row r="55" spans="1:16" x14ac:dyDescent="0.2">
      <c r="A55" s="2" t="s">
        <v>111</v>
      </c>
      <c r="B55" s="8"/>
      <c r="C55" s="9"/>
      <c r="D55" s="8"/>
      <c r="E55" s="17"/>
      <c r="F55" s="8"/>
      <c r="G55" s="36"/>
      <c r="H55" s="37"/>
      <c r="I55" s="38"/>
      <c r="J55" s="39"/>
      <c r="K55" s="40"/>
      <c r="L55" s="21"/>
      <c r="M55" s="13"/>
      <c r="N55" s="28"/>
      <c r="O55" s="15"/>
      <c r="P55" s="20"/>
    </row>
    <row r="56" spans="1:16" x14ac:dyDescent="0.2">
      <c r="A56" s="8" t="s">
        <v>112</v>
      </c>
      <c r="B56" s="8" t="s">
        <v>113</v>
      </c>
      <c r="C56" s="9">
        <v>44249</v>
      </c>
      <c r="D56" s="8">
        <v>8</v>
      </c>
      <c r="E56" s="17">
        <v>1</v>
      </c>
      <c r="F56" s="41">
        <v>12.22</v>
      </c>
      <c r="G56" s="11">
        <f t="shared" ref="G56:G65" si="14">(F56*D56)/E56</f>
        <v>97.76</v>
      </c>
      <c r="H56" s="14">
        <v>4.3499999999999996</v>
      </c>
      <c r="I56" s="8">
        <v>0</v>
      </c>
      <c r="J56" s="17">
        <v>1</v>
      </c>
      <c r="K56" s="11">
        <f t="shared" ref="K56:K61" si="15">((H56+I56)/J56)*D56</f>
        <v>34.799999999999997</v>
      </c>
      <c r="L56" s="21">
        <f t="shared" ref="L56:L61" si="16">(K56-G56)/G56</f>
        <v>-0.64402618657937816</v>
      </c>
      <c r="M56" s="13">
        <f t="shared" ref="M56:M61" si="17">K56-G56</f>
        <v>-62.960000000000008</v>
      </c>
      <c r="N56" s="28"/>
      <c r="O56" s="15"/>
      <c r="P56" s="20"/>
    </row>
    <row r="57" spans="1:16" x14ac:dyDescent="0.2">
      <c r="A57" s="8" t="s">
        <v>114</v>
      </c>
      <c r="B57" s="8" t="s">
        <v>115</v>
      </c>
      <c r="C57" s="9">
        <v>44264</v>
      </c>
      <c r="D57" s="8">
        <v>27</v>
      </c>
      <c r="E57" s="17">
        <v>1</v>
      </c>
      <c r="F57" s="41">
        <v>3.72</v>
      </c>
      <c r="G57" s="11">
        <f t="shared" si="14"/>
        <v>100.44000000000001</v>
      </c>
      <c r="H57" s="14">
        <v>2.1800000000000002</v>
      </c>
      <c r="I57" s="8">
        <v>0</v>
      </c>
      <c r="J57" s="17">
        <v>1</v>
      </c>
      <c r="K57" s="11">
        <f t="shared" si="15"/>
        <v>58.860000000000007</v>
      </c>
      <c r="L57" s="21">
        <f t="shared" si="16"/>
        <v>-0.41397849462365593</v>
      </c>
      <c r="M57" s="13">
        <f t="shared" si="17"/>
        <v>-41.580000000000005</v>
      </c>
      <c r="N57" s="28"/>
      <c r="O57" s="15"/>
      <c r="P57" s="20"/>
    </row>
    <row r="58" spans="1:16" x14ac:dyDescent="0.2">
      <c r="A58" s="8" t="s">
        <v>116</v>
      </c>
      <c r="B58" s="8" t="s">
        <v>117</v>
      </c>
      <c r="C58" s="9">
        <v>44264</v>
      </c>
      <c r="D58" s="8">
        <v>1.1299999999999999</v>
      </c>
      <c r="E58" s="17">
        <v>1</v>
      </c>
      <c r="F58" s="41">
        <v>35.15</v>
      </c>
      <c r="G58" s="11">
        <f t="shared" si="14"/>
        <v>39.719499999999996</v>
      </c>
      <c r="H58" s="14">
        <v>22.59</v>
      </c>
      <c r="I58" s="8">
        <v>0</v>
      </c>
      <c r="J58" s="17">
        <v>1</v>
      </c>
      <c r="K58" s="11">
        <f t="shared" si="15"/>
        <v>25.526699999999998</v>
      </c>
      <c r="L58" s="21">
        <f>(K58-G58)/G58</f>
        <v>-0.35732574679943102</v>
      </c>
      <c r="M58" s="13">
        <f t="shared" si="17"/>
        <v>-14.192799999999998</v>
      </c>
      <c r="N58" s="28"/>
      <c r="O58" s="15"/>
      <c r="P58" s="27" t="s">
        <v>118</v>
      </c>
    </row>
    <row r="59" spans="1:16" x14ac:dyDescent="0.2">
      <c r="A59" s="8" t="s">
        <v>119</v>
      </c>
      <c r="B59" s="8" t="s">
        <v>120</v>
      </c>
      <c r="C59" s="9">
        <v>44268</v>
      </c>
      <c r="D59" s="8">
        <v>4</v>
      </c>
      <c r="E59" s="17">
        <v>1</v>
      </c>
      <c r="F59" s="41">
        <v>27.49</v>
      </c>
      <c r="G59" s="11">
        <f t="shared" si="14"/>
        <v>109.96</v>
      </c>
      <c r="H59" s="14">
        <v>13.64</v>
      </c>
      <c r="I59" s="8">
        <v>0</v>
      </c>
      <c r="J59" s="17">
        <v>1</v>
      </c>
      <c r="K59" s="11">
        <f t="shared" si="15"/>
        <v>54.56</v>
      </c>
      <c r="L59" s="21">
        <f t="shared" si="16"/>
        <v>-0.50381957075300099</v>
      </c>
      <c r="M59" s="13">
        <f t="shared" si="17"/>
        <v>-55.399999999999991</v>
      </c>
      <c r="N59" s="28"/>
      <c r="O59" s="15"/>
      <c r="P59" s="20"/>
    </row>
    <row r="60" spans="1:16" x14ac:dyDescent="0.2">
      <c r="A60" s="8" t="s">
        <v>121</v>
      </c>
      <c r="B60" s="8" t="s">
        <v>122</v>
      </c>
      <c r="C60" s="9">
        <v>44270</v>
      </c>
      <c r="D60" s="8">
        <v>5.75</v>
      </c>
      <c r="E60" s="17">
        <v>1</v>
      </c>
      <c r="F60" s="41">
        <v>16.86</v>
      </c>
      <c r="G60" s="11">
        <f t="shared" si="14"/>
        <v>96.944999999999993</v>
      </c>
      <c r="H60" s="14">
        <v>5.49</v>
      </c>
      <c r="I60" s="8">
        <v>0</v>
      </c>
      <c r="J60" s="17">
        <v>1</v>
      </c>
      <c r="K60" s="11">
        <f t="shared" si="15"/>
        <v>31.567500000000003</v>
      </c>
      <c r="L60" s="21">
        <f t="shared" si="16"/>
        <v>-0.67437722419928825</v>
      </c>
      <c r="M60" s="13">
        <f t="shared" si="17"/>
        <v>-65.377499999999998</v>
      </c>
      <c r="N60" s="28"/>
      <c r="O60" s="15"/>
      <c r="P60" s="20"/>
    </row>
    <row r="61" spans="1:16" x14ac:dyDescent="0.2">
      <c r="A61" s="8" t="s">
        <v>123</v>
      </c>
      <c r="B61" s="8" t="s">
        <v>124</v>
      </c>
      <c r="C61" s="9">
        <v>44280</v>
      </c>
      <c r="D61" s="8">
        <v>13.25</v>
      </c>
      <c r="E61" s="17">
        <v>1</v>
      </c>
      <c r="F61" s="41">
        <v>3.14</v>
      </c>
      <c r="G61" s="11">
        <f t="shared" si="14"/>
        <v>41.605000000000004</v>
      </c>
      <c r="H61" s="14">
        <v>3.05</v>
      </c>
      <c r="I61" s="8">
        <v>0</v>
      </c>
      <c r="J61" s="17">
        <v>1</v>
      </c>
      <c r="K61" s="11">
        <f t="shared" si="15"/>
        <v>40.412499999999994</v>
      </c>
      <c r="L61" s="21">
        <f t="shared" si="16"/>
        <v>-2.8662420382165835E-2</v>
      </c>
      <c r="M61" s="13">
        <f t="shared" si="17"/>
        <v>-1.1925000000000097</v>
      </c>
      <c r="N61" s="28"/>
      <c r="O61" s="15"/>
      <c r="P61" s="27" t="s">
        <v>118</v>
      </c>
    </row>
    <row r="62" spans="1:16" x14ac:dyDescent="0.2">
      <c r="A62" s="8" t="s">
        <v>125</v>
      </c>
      <c r="B62" s="8" t="s">
        <v>126</v>
      </c>
      <c r="C62" s="9">
        <v>44309</v>
      </c>
      <c r="D62" s="8">
        <v>110</v>
      </c>
      <c r="E62" s="17">
        <v>1</v>
      </c>
      <c r="F62" s="41">
        <v>0.91</v>
      </c>
      <c r="G62" s="11">
        <f t="shared" si="14"/>
        <v>100.10000000000001</v>
      </c>
      <c r="H62" s="14">
        <v>0.41</v>
      </c>
      <c r="I62" s="8">
        <v>0</v>
      </c>
      <c r="J62" s="17">
        <v>1</v>
      </c>
      <c r="K62" s="11">
        <f>((H62+I62)/J62)*D62</f>
        <v>45.099999999999994</v>
      </c>
      <c r="L62" s="21">
        <f>(K62-G62)/G62</f>
        <v>-0.5494505494505495</v>
      </c>
      <c r="M62" s="13">
        <f>K62-G62</f>
        <v>-55.000000000000014</v>
      </c>
      <c r="N62" s="28"/>
      <c r="O62" s="15"/>
      <c r="P62" s="20"/>
    </row>
    <row r="63" spans="1:16" x14ac:dyDescent="0.2">
      <c r="A63" s="8" t="s">
        <v>127</v>
      </c>
      <c r="B63" s="8" t="s">
        <v>128</v>
      </c>
      <c r="C63" s="9">
        <v>44309</v>
      </c>
      <c r="D63" s="8">
        <v>3.6</v>
      </c>
      <c r="E63" s="17">
        <v>1</v>
      </c>
      <c r="F63" s="41">
        <v>27.78</v>
      </c>
      <c r="G63" s="11">
        <f t="shared" si="14"/>
        <v>100.00800000000001</v>
      </c>
      <c r="H63" s="14">
        <v>8.73</v>
      </c>
      <c r="I63" s="8">
        <v>0</v>
      </c>
      <c r="J63" s="17">
        <v>1</v>
      </c>
      <c r="K63" s="11">
        <f>((H63+I63)/J63)*D63</f>
        <v>31.428000000000001</v>
      </c>
      <c r="L63" s="21">
        <f>(K63-G63)/G63</f>
        <v>-0.68574514038876899</v>
      </c>
      <c r="M63" s="13">
        <f>K63-G63</f>
        <v>-68.580000000000013</v>
      </c>
      <c r="N63" s="28"/>
      <c r="O63" s="15"/>
      <c r="P63" s="20"/>
    </row>
    <row r="64" spans="1:16" x14ac:dyDescent="0.2">
      <c r="A64" s="8" t="s">
        <v>129</v>
      </c>
      <c r="B64" s="8" t="s">
        <v>130</v>
      </c>
      <c r="C64" s="9">
        <v>44332</v>
      </c>
      <c r="D64" s="8">
        <v>21.5</v>
      </c>
      <c r="E64" s="17">
        <v>1</v>
      </c>
      <c r="F64" s="41">
        <v>4.51</v>
      </c>
      <c r="G64" s="11">
        <f t="shared" si="14"/>
        <v>96.964999999999989</v>
      </c>
      <c r="H64" s="14">
        <v>2.0299999999999998</v>
      </c>
      <c r="I64" s="8">
        <v>0</v>
      </c>
      <c r="J64" s="17">
        <v>1</v>
      </c>
      <c r="K64" s="11">
        <f>((H64+I64)/J64)*D64</f>
        <v>43.644999999999996</v>
      </c>
      <c r="L64" s="21">
        <f>(K64-G64)/G64</f>
        <v>-0.54988913525498895</v>
      </c>
      <c r="M64" s="13">
        <f>K64-G64</f>
        <v>-53.319999999999993</v>
      </c>
      <c r="N64" s="28"/>
      <c r="O64" s="15"/>
      <c r="P64" s="20"/>
    </row>
    <row r="65" spans="1:16" x14ac:dyDescent="0.2">
      <c r="A65" s="8" t="s">
        <v>131</v>
      </c>
      <c r="B65" s="8" t="s">
        <v>132</v>
      </c>
      <c r="C65" s="9">
        <v>44332</v>
      </c>
      <c r="D65" s="8">
        <v>0.48</v>
      </c>
      <c r="E65" s="17">
        <v>1</v>
      </c>
      <c r="F65" s="41">
        <v>205.83</v>
      </c>
      <c r="G65" s="11">
        <f t="shared" si="14"/>
        <v>98.798400000000001</v>
      </c>
      <c r="H65" s="14">
        <v>27.75</v>
      </c>
      <c r="I65" s="8">
        <v>0</v>
      </c>
      <c r="J65" s="17">
        <v>1</v>
      </c>
      <c r="K65" s="11">
        <f>((H65+I65)/J65)*D65</f>
        <v>13.32</v>
      </c>
      <c r="L65" s="21">
        <f>(K65-G65)/G65</f>
        <v>-0.86518000291502684</v>
      </c>
      <c r="M65" s="13">
        <f>K65-G65</f>
        <v>-85.478399999999993</v>
      </c>
      <c r="N65" s="28"/>
      <c r="O65" s="15"/>
      <c r="P65" s="20"/>
    </row>
    <row r="66" spans="1:16" x14ac:dyDescent="0.2">
      <c r="A66" s="2" t="s">
        <v>133</v>
      </c>
      <c r="B66" s="8"/>
      <c r="C66" s="9"/>
      <c r="D66" s="8"/>
      <c r="E66" s="8"/>
      <c r="F66" s="8"/>
      <c r="G66" s="11"/>
      <c r="H66" s="28"/>
      <c r="I66" s="8"/>
      <c r="J66" s="8"/>
      <c r="K66" s="11"/>
      <c r="L66" s="12"/>
      <c r="M66" s="13"/>
      <c r="N66" s="28"/>
      <c r="O66" s="15"/>
      <c r="P66" s="42"/>
    </row>
    <row r="67" spans="1:16" x14ac:dyDescent="0.2">
      <c r="A67" s="8" t="s">
        <v>134</v>
      </c>
      <c r="B67" s="8" t="s">
        <v>135</v>
      </c>
      <c r="C67" s="9">
        <v>43521</v>
      </c>
      <c r="D67" s="8">
        <v>10</v>
      </c>
      <c r="E67" s="17">
        <v>1.1399999999999999</v>
      </c>
      <c r="F67" s="10">
        <v>64.64</v>
      </c>
      <c r="G67" s="11">
        <f t="shared" si="0"/>
        <v>567.01754385964909</v>
      </c>
      <c r="H67" s="32">
        <f>'[1]auto data'!S3</f>
        <v>195.24</v>
      </c>
      <c r="I67" s="23">
        <f>[1]Dividend!P5</f>
        <v>8.25</v>
      </c>
      <c r="J67" s="17">
        <f>J143</f>
        <v>1.193744777366599</v>
      </c>
      <c r="K67" s="11">
        <f t="shared" ref="K67:K81" si="18">((H67+I67)/J67)*D67</f>
        <v>1704.63573</v>
      </c>
      <c r="L67" s="19">
        <f>(K67-G67)/G67+1</f>
        <v>3.0063192020420795</v>
      </c>
      <c r="M67" s="43">
        <f>195.39*(1-N67)</f>
        <v>146.54249999999999</v>
      </c>
      <c r="N67" s="44">
        <v>0.25</v>
      </c>
      <c r="O67" s="15" t="s">
        <v>136</v>
      </c>
      <c r="P67" s="42">
        <v>2</v>
      </c>
    </row>
    <row r="68" spans="1:16" x14ac:dyDescent="0.2">
      <c r="A68" s="8" t="s">
        <v>137</v>
      </c>
      <c r="B68" s="8" t="s">
        <v>138</v>
      </c>
      <c r="C68" s="9">
        <v>44152</v>
      </c>
      <c r="D68" s="8">
        <v>0.09</v>
      </c>
      <c r="E68" s="17">
        <v>1</v>
      </c>
      <c r="F68" s="8">
        <v>8472.34</v>
      </c>
      <c r="G68" s="11">
        <f t="shared" si="0"/>
        <v>762.51059999999995</v>
      </c>
      <c r="H68" s="33">
        <f>[1]crypto!C2</f>
        <v>27089.997500000001</v>
      </c>
      <c r="I68" s="8">
        <v>0</v>
      </c>
      <c r="J68" s="17">
        <v>1</v>
      </c>
      <c r="K68" s="11">
        <f t="shared" si="18"/>
        <v>2438.0997750000001</v>
      </c>
      <c r="L68" s="19">
        <f t="shared" ref="L68:L77" si="19">(K68-G68)/G68+1</f>
        <v>3.1974634516556231</v>
      </c>
      <c r="M68" s="43"/>
      <c r="N68" s="44"/>
      <c r="O68" s="15" t="s">
        <v>139</v>
      </c>
      <c r="P68" s="42">
        <v>1</v>
      </c>
    </row>
    <row r="69" spans="1:16" x14ac:dyDescent="0.2">
      <c r="A69" s="8" t="s">
        <v>140</v>
      </c>
      <c r="B69" s="8" t="s">
        <v>141</v>
      </c>
      <c r="C69" s="9">
        <v>43140</v>
      </c>
      <c r="D69" s="8">
        <v>20</v>
      </c>
      <c r="E69" s="17">
        <v>1.24</v>
      </c>
      <c r="F69" s="10">
        <v>13.5</v>
      </c>
      <c r="G69" s="11">
        <f t="shared" si="0"/>
        <v>217.74193548387098</v>
      </c>
      <c r="H69" s="32">
        <f>'[1]auto data'!S4</f>
        <v>9.68</v>
      </c>
      <c r="I69" s="8">
        <v>0</v>
      </c>
      <c r="J69" s="17">
        <f>J143</f>
        <v>1.193744777366599</v>
      </c>
      <c r="K69" s="11">
        <f t="shared" si="18"/>
        <v>162.17872</v>
      </c>
      <c r="L69" s="19">
        <f>(K69-G69)/G69+1</f>
        <v>0.74482078814814812</v>
      </c>
      <c r="M69" s="43">
        <f>10.11*(1-N69)</f>
        <v>7.5824999999999996</v>
      </c>
      <c r="N69" s="44">
        <v>0.25</v>
      </c>
      <c r="O69" s="45" t="s">
        <v>142</v>
      </c>
      <c r="P69" s="42">
        <v>1</v>
      </c>
    </row>
    <row r="70" spans="1:16" x14ac:dyDescent="0.2">
      <c r="A70" s="46" t="s">
        <v>143</v>
      </c>
      <c r="B70" s="46" t="s">
        <v>144</v>
      </c>
      <c r="C70" s="47">
        <v>43558</v>
      </c>
      <c r="D70" s="8">
        <v>60</v>
      </c>
      <c r="E70" s="17">
        <v>1.5</v>
      </c>
      <c r="F70" s="48">
        <v>4.9800000000000004</v>
      </c>
      <c r="G70" s="11">
        <f t="shared" si="0"/>
        <v>199.20000000000002</v>
      </c>
      <c r="H70" s="32">
        <f>'[1]auto data'!S5</f>
        <v>5.62</v>
      </c>
      <c r="I70" s="8">
        <v>0</v>
      </c>
      <c r="J70" s="17">
        <f>J144</f>
        <v>1.467782181124321</v>
      </c>
      <c r="K70" s="11">
        <f t="shared" si="18"/>
        <v>229.73436000000001</v>
      </c>
      <c r="L70" s="19">
        <f t="shared" si="19"/>
        <v>1.1532849397590361</v>
      </c>
      <c r="M70" s="43">
        <f>6.25*(1-N70)</f>
        <v>4.6875</v>
      </c>
      <c r="N70" s="44">
        <v>0.25</v>
      </c>
      <c r="O70" s="45" t="s">
        <v>142</v>
      </c>
      <c r="P70" s="42">
        <v>2</v>
      </c>
    </row>
    <row r="71" spans="1:16" x14ac:dyDescent="0.2">
      <c r="A71" s="46" t="s">
        <v>145</v>
      </c>
      <c r="B71" s="46" t="s">
        <v>107</v>
      </c>
      <c r="C71" s="47">
        <v>43187</v>
      </c>
      <c r="D71" s="8">
        <v>22</v>
      </c>
      <c r="E71" s="17">
        <v>1.24</v>
      </c>
      <c r="F71" s="48">
        <v>12.22</v>
      </c>
      <c r="G71" s="11">
        <f t="shared" si="0"/>
        <v>216.80645161290326</v>
      </c>
      <c r="H71" s="32">
        <f>'[1]auto data'!S6</f>
        <v>15.76</v>
      </c>
      <c r="I71" s="8">
        <v>0</v>
      </c>
      <c r="J71" s="17">
        <f>J143</f>
        <v>1.193744777366599</v>
      </c>
      <c r="K71" s="11">
        <f t="shared" si="18"/>
        <v>290.44734399999999</v>
      </c>
      <c r="L71" s="19">
        <f t="shared" si="19"/>
        <v>1.3396619050736494</v>
      </c>
      <c r="M71" s="43">
        <f>18*(1-N71)</f>
        <v>13.5</v>
      </c>
      <c r="N71" s="44">
        <v>0.25</v>
      </c>
      <c r="O71" s="45" t="s">
        <v>142</v>
      </c>
      <c r="P71" s="42">
        <v>3</v>
      </c>
    </row>
    <row r="72" spans="1:16" x14ac:dyDescent="0.2">
      <c r="A72" s="8" t="s">
        <v>146</v>
      </c>
      <c r="B72" s="8" t="s">
        <v>147</v>
      </c>
      <c r="C72" s="9">
        <v>43683</v>
      </c>
      <c r="D72" s="8">
        <v>400</v>
      </c>
      <c r="E72" s="17">
        <v>1.49</v>
      </c>
      <c r="F72" s="49">
        <v>0.8</v>
      </c>
      <c r="G72" s="11">
        <f t="shared" si="0"/>
        <v>214.76510067114094</v>
      </c>
      <c r="H72" s="32">
        <f>'[1]auto data'!S7</f>
        <v>1.37</v>
      </c>
      <c r="I72" s="8">
        <v>0</v>
      </c>
      <c r="J72" s="17">
        <f>J144</f>
        <v>1.467782181124321</v>
      </c>
      <c r="K72" s="11">
        <f t="shared" si="18"/>
        <v>373.35240000000005</v>
      </c>
      <c r="L72" s="19">
        <f t="shared" si="19"/>
        <v>1.7384221125000003</v>
      </c>
      <c r="M72" s="43">
        <f>0.95*(1-N72)</f>
        <v>0.71249999999999991</v>
      </c>
      <c r="N72" s="44">
        <v>0.25</v>
      </c>
      <c r="O72" s="45" t="s">
        <v>142</v>
      </c>
      <c r="P72" s="42">
        <v>4</v>
      </c>
    </row>
    <row r="73" spans="1:16" x14ac:dyDescent="0.2">
      <c r="A73" s="8" t="s">
        <v>148</v>
      </c>
      <c r="B73" s="8" t="s">
        <v>149</v>
      </c>
      <c r="C73" s="9">
        <v>43102</v>
      </c>
      <c r="D73" s="31">
        <v>8</v>
      </c>
      <c r="E73" s="50">
        <v>1.24</v>
      </c>
      <c r="F73" s="23">
        <v>150</v>
      </c>
      <c r="G73" s="11">
        <f t="shared" ref="G73:G92" si="20">(F73*D73)/E73</f>
        <v>967.74193548387098</v>
      </c>
      <c r="H73" s="32">
        <f>'[1]auto data'!S8</f>
        <v>145.22999999999999</v>
      </c>
      <c r="I73" s="51">
        <f>[1]Dividend!P3</f>
        <v>2.97</v>
      </c>
      <c r="J73" s="50">
        <f>J143</f>
        <v>1.193744777366599</v>
      </c>
      <c r="K73" s="52">
        <f t="shared" si="18"/>
        <v>993.17711999999995</v>
      </c>
      <c r="L73" s="19">
        <f t="shared" si="19"/>
        <v>1.026283024</v>
      </c>
      <c r="M73" s="43">
        <f>124.35*(1-N73)</f>
        <v>93.262499999999989</v>
      </c>
      <c r="N73" s="44">
        <v>0.25</v>
      </c>
      <c r="O73" s="45" t="s">
        <v>142</v>
      </c>
      <c r="P73" s="42">
        <v>5</v>
      </c>
    </row>
    <row r="74" spans="1:16" x14ac:dyDescent="0.2">
      <c r="A74" s="8" t="s">
        <v>150</v>
      </c>
      <c r="B74" s="8" t="s">
        <v>24</v>
      </c>
      <c r="C74" s="9">
        <v>43102</v>
      </c>
      <c r="D74" s="31">
        <v>50</v>
      </c>
      <c r="E74" s="50">
        <v>1.24</v>
      </c>
      <c r="F74" s="8">
        <v>5.03</v>
      </c>
      <c r="G74" s="11">
        <f t="shared" si="20"/>
        <v>202.82258064516128</v>
      </c>
      <c r="H74" s="32">
        <f>'[1]auto data'!S9</f>
        <v>8.08</v>
      </c>
      <c r="I74" s="51">
        <v>0</v>
      </c>
      <c r="J74" s="50">
        <f>J143</f>
        <v>1.193744777366599</v>
      </c>
      <c r="K74" s="53">
        <f t="shared" si="18"/>
        <v>338.43079999999998</v>
      </c>
      <c r="L74" s="19">
        <f t="shared" si="19"/>
        <v>1.6686051371769384</v>
      </c>
      <c r="M74" s="43">
        <f>6.94*(1-N74)</f>
        <v>5.2050000000000001</v>
      </c>
      <c r="N74" s="44">
        <v>0.25</v>
      </c>
      <c r="O74" s="45" t="s">
        <v>142</v>
      </c>
      <c r="P74" s="42">
        <v>6</v>
      </c>
    </row>
    <row r="75" spans="1:16" x14ac:dyDescent="0.2">
      <c r="A75" s="8" t="s">
        <v>151</v>
      </c>
      <c r="B75" s="8" t="s">
        <v>152</v>
      </c>
      <c r="C75" s="9">
        <v>43683</v>
      </c>
      <c r="D75" s="31">
        <v>33</v>
      </c>
      <c r="E75" s="50">
        <v>1.49</v>
      </c>
      <c r="F75" s="8">
        <v>4.6399999999999997</v>
      </c>
      <c r="G75" s="11">
        <f t="shared" si="20"/>
        <v>102.76510067114093</v>
      </c>
      <c r="H75" s="32">
        <f>'[1]auto data'!S10</f>
        <v>8.94</v>
      </c>
      <c r="I75" s="51">
        <f>[1]Dividend!P22</f>
        <v>4.9000000000000009E-2</v>
      </c>
      <c r="J75" s="50">
        <f>J144</f>
        <v>1.467782181124321</v>
      </c>
      <c r="K75" s="53">
        <f t="shared" si="18"/>
        <v>202.09878810000001</v>
      </c>
      <c r="L75" s="19">
        <f t="shared" si="19"/>
        <v>1.9666091579741383</v>
      </c>
      <c r="M75" s="43">
        <f>12.5*(1-N75)</f>
        <v>9.375</v>
      </c>
      <c r="N75" s="44">
        <v>0.25</v>
      </c>
      <c r="O75" s="45" t="s">
        <v>142</v>
      </c>
      <c r="P75" s="42">
        <v>7</v>
      </c>
    </row>
    <row r="76" spans="1:16" x14ac:dyDescent="0.2">
      <c r="A76" s="8" t="s">
        <v>153</v>
      </c>
      <c r="B76" s="8" t="s">
        <v>154</v>
      </c>
      <c r="C76" s="9">
        <v>44155</v>
      </c>
      <c r="D76" s="8">
        <v>1</v>
      </c>
      <c r="E76" s="17">
        <v>1</v>
      </c>
      <c r="F76" s="8">
        <v>212</v>
      </c>
      <c r="G76" s="11">
        <f t="shared" si="20"/>
        <v>212</v>
      </c>
      <c r="H76" s="33">
        <f>[1]crypto!C3</f>
        <v>1536.885</v>
      </c>
      <c r="I76" s="8">
        <v>0</v>
      </c>
      <c r="J76" s="17">
        <v>1</v>
      </c>
      <c r="K76" s="11">
        <f t="shared" si="18"/>
        <v>1536.885</v>
      </c>
      <c r="L76" s="19">
        <f t="shared" si="19"/>
        <v>7.2494575471698113</v>
      </c>
      <c r="M76" s="43"/>
      <c r="N76" s="44"/>
      <c r="O76" s="15" t="s">
        <v>139</v>
      </c>
      <c r="P76" s="42">
        <v>2</v>
      </c>
    </row>
    <row r="77" spans="1:16" x14ac:dyDescent="0.2">
      <c r="A77" s="8" t="s">
        <v>155</v>
      </c>
      <c r="B77" s="8" t="s">
        <v>156</v>
      </c>
      <c r="C77" s="9">
        <v>43994</v>
      </c>
      <c r="D77" s="8">
        <v>45</v>
      </c>
      <c r="E77" s="17">
        <v>1.1255999999999999</v>
      </c>
      <c r="F77" s="10">
        <v>5</v>
      </c>
      <c r="G77" s="11">
        <f t="shared" si="20"/>
        <v>199.89339019189768</v>
      </c>
      <c r="H77" s="26">
        <f>'[1]auto data'!S11</f>
        <v>8.8699999999999992</v>
      </c>
      <c r="I77" s="8">
        <v>0</v>
      </c>
      <c r="J77" s="17">
        <f>J143</f>
        <v>1.193744777366599</v>
      </c>
      <c r="K77" s="11">
        <f t="shared" si="18"/>
        <v>334.36795499999999</v>
      </c>
      <c r="L77" s="19">
        <f t="shared" si="19"/>
        <v>1.6727314228799997</v>
      </c>
      <c r="M77" s="43">
        <f>9.51*(1-N77)</f>
        <v>7.1325000000000003</v>
      </c>
      <c r="N77" s="44">
        <v>0.25</v>
      </c>
      <c r="O77" s="15" t="s">
        <v>142</v>
      </c>
      <c r="P77" s="42">
        <v>8</v>
      </c>
    </row>
    <row r="78" spans="1:16" x14ac:dyDescent="0.2">
      <c r="A78" s="8" t="s">
        <v>157</v>
      </c>
      <c r="B78" s="8" t="s">
        <v>158</v>
      </c>
      <c r="C78" s="9">
        <v>44185</v>
      </c>
      <c r="D78" s="8">
        <v>175</v>
      </c>
      <c r="E78" s="17">
        <v>1</v>
      </c>
      <c r="F78" s="17">
        <v>0.3</v>
      </c>
      <c r="G78" s="11">
        <f t="shared" si="20"/>
        <v>52.5</v>
      </c>
      <c r="H78" s="54">
        <v>0.4577</v>
      </c>
      <c r="I78" s="8">
        <v>0</v>
      </c>
      <c r="J78" s="17">
        <v>1</v>
      </c>
      <c r="K78" s="11">
        <f t="shared" si="18"/>
        <v>80.097499999999997</v>
      </c>
      <c r="L78" s="19">
        <f>(K78-G78)/G78+1</f>
        <v>1.5256666666666665</v>
      </c>
      <c r="M78" s="43"/>
      <c r="N78" s="44"/>
      <c r="O78" s="15" t="s">
        <v>159</v>
      </c>
      <c r="P78" s="42">
        <v>1</v>
      </c>
    </row>
    <row r="79" spans="1:16" x14ac:dyDescent="0.2">
      <c r="A79" s="8" t="s">
        <v>160</v>
      </c>
      <c r="B79" s="8" t="s">
        <v>161</v>
      </c>
      <c r="C79" s="9">
        <v>44077</v>
      </c>
      <c r="D79" s="8">
        <v>350</v>
      </c>
      <c r="E79" s="17">
        <v>1.55</v>
      </c>
      <c r="F79" s="10">
        <v>0.48499999999999999</v>
      </c>
      <c r="G79" s="11">
        <f t="shared" si="20"/>
        <v>109.51612903225806</v>
      </c>
      <c r="H79" s="18">
        <f>'[1]auto data'!S12</f>
        <v>0.71</v>
      </c>
      <c r="I79" s="8">
        <v>0</v>
      </c>
      <c r="J79" s="17">
        <f>J144</f>
        <v>1.467782181124321</v>
      </c>
      <c r="K79" s="11">
        <f t="shared" si="18"/>
        <v>169.30305000000001</v>
      </c>
      <c r="L79" s="19">
        <f>(K79-G79)/G79+1</f>
        <v>1.5459188659793814</v>
      </c>
      <c r="M79" s="43">
        <f>0.72*(1-N79)</f>
        <v>0.54</v>
      </c>
      <c r="N79" s="44">
        <v>0.25</v>
      </c>
      <c r="O79" s="55" t="s">
        <v>162</v>
      </c>
      <c r="P79" s="42">
        <v>6</v>
      </c>
    </row>
    <row r="80" spans="1:16" x14ac:dyDescent="0.2">
      <c r="A80" s="8" t="s">
        <v>163</v>
      </c>
      <c r="B80" s="8" t="s">
        <v>164</v>
      </c>
      <c r="C80" s="9">
        <v>43384</v>
      </c>
      <c r="D80" s="8">
        <v>20</v>
      </c>
      <c r="E80" s="17">
        <v>1.5</v>
      </c>
      <c r="F80" s="8">
        <v>5.96</v>
      </c>
      <c r="G80" s="11">
        <f t="shared" si="20"/>
        <v>79.466666666666669</v>
      </c>
      <c r="H80" s="18">
        <f>'[1]auto data'!S13</f>
        <v>11.31</v>
      </c>
      <c r="I80" s="23">
        <f>[1]Dividend!P9</f>
        <v>0.16</v>
      </c>
      <c r="J80" s="17">
        <f>J144</f>
        <v>1.467782181124321</v>
      </c>
      <c r="K80" s="11">
        <f t="shared" si="18"/>
        <v>156.29022000000003</v>
      </c>
      <c r="L80" s="19">
        <f>(K80-G80)/G80+1</f>
        <v>1.9667393456375843</v>
      </c>
      <c r="M80" s="43">
        <f>14.94*(1-N80)</f>
        <v>11.205</v>
      </c>
      <c r="N80" s="44">
        <v>0.25</v>
      </c>
      <c r="O80" s="15" t="s">
        <v>165</v>
      </c>
      <c r="P80" s="42">
        <v>1</v>
      </c>
    </row>
    <row r="81" spans="1:16" x14ac:dyDescent="0.2">
      <c r="A81" s="8" t="s">
        <v>166</v>
      </c>
      <c r="B81" s="8" t="s">
        <v>167</v>
      </c>
      <c r="C81" s="9">
        <v>44186</v>
      </c>
      <c r="D81" s="8">
        <v>375</v>
      </c>
      <c r="E81" s="17">
        <v>1</v>
      </c>
      <c r="F81" s="41">
        <v>0.13500000000000001</v>
      </c>
      <c r="G81" s="11">
        <f t="shared" si="20"/>
        <v>50.625</v>
      </c>
      <c r="H81" s="14">
        <v>0.21</v>
      </c>
      <c r="I81" s="8">
        <v>0</v>
      </c>
      <c r="J81" s="17">
        <v>1</v>
      </c>
      <c r="K81" s="11">
        <f t="shared" si="18"/>
        <v>78.75</v>
      </c>
      <c r="L81" s="19">
        <f>(K81-G81)/G81+1</f>
        <v>1.5555555555555556</v>
      </c>
      <c r="M81" s="43"/>
      <c r="N81" s="44"/>
      <c r="O81" s="55" t="s">
        <v>159</v>
      </c>
      <c r="P81" s="42">
        <v>2</v>
      </c>
    </row>
    <row r="82" spans="1:16" x14ac:dyDescent="0.2">
      <c r="A82" s="8" t="s">
        <v>168</v>
      </c>
      <c r="B82" s="8" t="s">
        <v>169</v>
      </c>
      <c r="C82" s="9">
        <v>44189</v>
      </c>
      <c r="D82" s="8">
        <v>138</v>
      </c>
      <c r="E82" s="17">
        <v>1</v>
      </c>
      <c r="F82" s="41">
        <v>0.25290000000000001</v>
      </c>
      <c r="G82" s="11">
        <f t="shared" si="20"/>
        <v>34.900200000000005</v>
      </c>
      <c r="H82" s="14">
        <v>0.69</v>
      </c>
      <c r="I82" s="17">
        <v>2.4759000000000002</v>
      </c>
      <c r="J82" s="17">
        <v>1</v>
      </c>
      <c r="K82" s="11">
        <f>((H82/J82)*(D82+I82))</f>
        <v>96.928370999999984</v>
      </c>
      <c r="L82" s="19">
        <f t="shared" ref="L82:L97" si="21">(K82-G82)/G82</f>
        <v>1.7773013048635815</v>
      </c>
      <c r="M82" s="43"/>
      <c r="N82" s="44"/>
      <c r="O82" s="55" t="s">
        <v>159</v>
      </c>
      <c r="P82" s="42">
        <v>3</v>
      </c>
    </row>
    <row r="83" spans="1:16" x14ac:dyDescent="0.2">
      <c r="A83" s="8" t="s">
        <v>170</v>
      </c>
      <c r="B83" s="8" t="s">
        <v>107</v>
      </c>
      <c r="C83" s="9">
        <v>44033</v>
      </c>
      <c r="D83" s="8">
        <v>39</v>
      </c>
      <c r="E83" s="17">
        <v>1.1000000000000001</v>
      </c>
      <c r="F83" s="10">
        <v>8.92</v>
      </c>
      <c r="G83" s="11">
        <f t="shared" si="20"/>
        <v>316.25454545454545</v>
      </c>
      <c r="H83" s="18">
        <f>H71</f>
        <v>15.76</v>
      </c>
      <c r="I83" s="8">
        <v>0</v>
      </c>
      <c r="J83" s="8">
        <v>1.2079</v>
      </c>
      <c r="K83" s="11">
        <f t="shared" ref="K83:K97" si="22">((H83+I83)/J83)*D83</f>
        <v>508.85007037006375</v>
      </c>
      <c r="L83" s="19">
        <f t="shared" si="21"/>
        <v>0.60898895425741673</v>
      </c>
      <c r="M83" s="43">
        <f>18*(1-N83)</f>
        <v>13.5</v>
      </c>
      <c r="N83" s="44">
        <v>0.25</v>
      </c>
      <c r="O83" s="15" t="s">
        <v>171</v>
      </c>
      <c r="P83" s="56">
        <v>8</v>
      </c>
    </row>
    <row r="84" spans="1:16" x14ac:dyDescent="0.2">
      <c r="A84" s="8" t="s">
        <v>172</v>
      </c>
      <c r="B84" s="8" t="s">
        <v>173</v>
      </c>
      <c r="C84" s="9">
        <v>44206</v>
      </c>
      <c r="D84" s="8">
        <v>0.5</v>
      </c>
      <c r="E84" s="17">
        <v>1</v>
      </c>
      <c r="F84" s="23">
        <v>161.22999999999999</v>
      </c>
      <c r="G84" s="11">
        <f t="shared" si="20"/>
        <v>80.614999999999995</v>
      </c>
      <c r="H84" s="14">
        <v>189.74</v>
      </c>
      <c r="I84" s="8">
        <v>0</v>
      </c>
      <c r="J84" s="17">
        <v>1</v>
      </c>
      <c r="K84" s="11">
        <f t="shared" si="22"/>
        <v>94.87</v>
      </c>
      <c r="L84" s="19">
        <f t="shared" si="21"/>
        <v>0.17682813372201217</v>
      </c>
      <c r="M84" s="43"/>
      <c r="N84" s="44"/>
      <c r="O84" s="55" t="s">
        <v>159</v>
      </c>
      <c r="P84" s="42">
        <v>4</v>
      </c>
    </row>
    <row r="85" spans="1:16" x14ac:dyDescent="0.2">
      <c r="A85" s="8" t="s">
        <v>174</v>
      </c>
      <c r="B85" s="8" t="s">
        <v>175</v>
      </c>
      <c r="C85" s="9">
        <v>44185</v>
      </c>
      <c r="D85" s="8">
        <v>4.5</v>
      </c>
      <c r="E85" s="17">
        <v>1</v>
      </c>
      <c r="F85" s="23">
        <v>10.95</v>
      </c>
      <c r="G85" s="11">
        <f t="shared" si="20"/>
        <v>49.274999999999999</v>
      </c>
      <c r="H85" s="14">
        <v>14.53</v>
      </c>
      <c r="I85" s="8">
        <v>0</v>
      </c>
      <c r="J85" s="17">
        <v>1</v>
      </c>
      <c r="K85" s="11">
        <f t="shared" si="22"/>
        <v>65.384999999999991</v>
      </c>
      <c r="L85" s="19">
        <f t="shared" si="21"/>
        <v>0.32694063926940625</v>
      </c>
      <c r="M85" s="43"/>
      <c r="N85" s="44"/>
      <c r="O85" s="55" t="s">
        <v>159</v>
      </c>
      <c r="P85" s="42">
        <v>5</v>
      </c>
    </row>
    <row r="86" spans="1:16" x14ac:dyDescent="0.2">
      <c r="A86" s="8" t="s">
        <v>176</v>
      </c>
      <c r="B86" s="8" t="s">
        <v>177</v>
      </c>
      <c r="C86" s="9">
        <v>44197</v>
      </c>
      <c r="D86" s="8">
        <v>10</v>
      </c>
      <c r="E86" s="17">
        <v>1</v>
      </c>
      <c r="F86" s="41">
        <v>4.95</v>
      </c>
      <c r="G86" s="11">
        <f t="shared" si="20"/>
        <v>49.5</v>
      </c>
      <c r="H86" s="14">
        <v>7.77</v>
      </c>
      <c r="I86" s="8">
        <v>9.8599999999999993E-2</v>
      </c>
      <c r="J86" s="17">
        <v>1</v>
      </c>
      <c r="K86" s="11">
        <f t="shared" si="22"/>
        <v>78.685999999999993</v>
      </c>
      <c r="L86" s="19">
        <f t="shared" si="21"/>
        <v>0.58961616161616148</v>
      </c>
      <c r="M86" s="43"/>
      <c r="N86" s="44"/>
      <c r="O86" s="55" t="s">
        <v>159</v>
      </c>
      <c r="P86" s="42">
        <v>6</v>
      </c>
    </row>
    <row r="87" spans="1:16" x14ac:dyDescent="0.2">
      <c r="A87" s="8" t="s">
        <v>178</v>
      </c>
      <c r="B87" s="8" t="s">
        <v>179</v>
      </c>
      <c r="C87" s="9">
        <v>43102</v>
      </c>
      <c r="D87" s="8">
        <v>275</v>
      </c>
      <c r="E87" s="17">
        <v>1.51</v>
      </c>
      <c r="F87" s="10">
        <v>2.1800000000000002</v>
      </c>
      <c r="G87" s="11">
        <f t="shared" si="20"/>
        <v>397.01986754966885</v>
      </c>
      <c r="H87" s="32">
        <f>'[1]auto data'!S14</f>
        <v>4.29</v>
      </c>
      <c r="I87" s="8">
        <v>0</v>
      </c>
      <c r="J87" s="17">
        <f>J144</f>
        <v>1.467782181124321</v>
      </c>
      <c r="K87" s="11">
        <f t="shared" si="22"/>
        <v>803.76367500000015</v>
      </c>
      <c r="L87" s="19">
        <f t="shared" si="21"/>
        <v>1.024492325688074</v>
      </c>
      <c r="M87" s="43"/>
      <c r="N87" s="44"/>
      <c r="O87" s="15" t="s">
        <v>180</v>
      </c>
      <c r="P87" s="42">
        <v>1</v>
      </c>
    </row>
    <row r="88" spans="1:16" x14ac:dyDescent="0.2">
      <c r="A88" s="8" t="s">
        <v>181</v>
      </c>
      <c r="B88" s="8" t="s">
        <v>182</v>
      </c>
      <c r="C88" s="9">
        <v>43822</v>
      </c>
      <c r="D88" s="8">
        <v>190</v>
      </c>
      <c r="E88" s="17">
        <v>1.51</v>
      </c>
      <c r="F88" s="10">
        <v>1.18</v>
      </c>
      <c r="G88" s="11">
        <f t="shared" si="20"/>
        <v>148.47682119205297</v>
      </c>
      <c r="H88" s="32">
        <f>'[1]auto data'!T15</f>
        <v>2.9878335535006606</v>
      </c>
      <c r="I88" s="8">
        <v>0</v>
      </c>
      <c r="J88" s="17">
        <f>J144</f>
        <v>1.467782181124321</v>
      </c>
      <c r="K88" s="11">
        <f t="shared" si="22"/>
        <v>386.76609000000008</v>
      </c>
      <c r="L88" s="19">
        <f t="shared" si="21"/>
        <v>1.6048920423728821</v>
      </c>
      <c r="M88" s="43"/>
      <c r="N88" s="44"/>
      <c r="O88" s="15" t="s">
        <v>180</v>
      </c>
      <c r="P88" s="42">
        <v>2</v>
      </c>
    </row>
    <row r="89" spans="1:16" x14ac:dyDescent="0.2">
      <c r="A89" s="8" t="s">
        <v>183</v>
      </c>
      <c r="B89" s="8" t="s">
        <v>184</v>
      </c>
      <c r="C89" s="9">
        <v>44238</v>
      </c>
      <c r="D89" s="8">
        <v>0.4</v>
      </c>
      <c r="E89" s="17">
        <v>1</v>
      </c>
      <c r="F89" s="41">
        <v>120.94</v>
      </c>
      <c r="G89" s="11">
        <f t="shared" si="20"/>
        <v>48.376000000000005</v>
      </c>
      <c r="H89" s="14">
        <v>104.22</v>
      </c>
      <c r="I89" s="8">
        <v>0</v>
      </c>
      <c r="J89" s="17">
        <v>1</v>
      </c>
      <c r="K89" s="11">
        <f t="shared" si="22"/>
        <v>41.688000000000002</v>
      </c>
      <c r="L89" s="19">
        <f t="shared" si="21"/>
        <v>-0.13825037208533161</v>
      </c>
      <c r="M89" s="43"/>
      <c r="N89" s="44"/>
      <c r="O89" s="15" t="s">
        <v>159</v>
      </c>
      <c r="P89" s="42">
        <v>7</v>
      </c>
    </row>
    <row r="90" spans="1:16" x14ac:dyDescent="0.2">
      <c r="A90" s="8" t="s">
        <v>185</v>
      </c>
      <c r="B90" s="8" t="s">
        <v>186</v>
      </c>
      <c r="C90" s="9">
        <v>43374</v>
      </c>
      <c r="D90" s="8">
        <v>700</v>
      </c>
      <c r="E90" s="17">
        <v>1.1499999999999999</v>
      </c>
      <c r="F90" s="10">
        <v>0.66</v>
      </c>
      <c r="G90" s="11">
        <f t="shared" si="20"/>
        <v>401.73913043478262</v>
      </c>
      <c r="H90" s="32">
        <f>'[1]auto data'!S16</f>
        <v>1.45</v>
      </c>
      <c r="I90" s="8">
        <v>0</v>
      </c>
      <c r="J90" s="8">
        <v>1.2088000000000001</v>
      </c>
      <c r="K90" s="11">
        <f t="shared" si="22"/>
        <v>839.67571144937119</v>
      </c>
      <c r="L90" s="19">
        <f t="shared" si="21"/>
        <v>1.0901018791488677</v>
      </c>
      <c r="M90" s="43"/>
      <c r="N90" s="44"/>
      <c r="O90" s="15" t="s">
        <v>180</v>
      </c>
      <c r="P90" s="42">
        <v>3</v>
      </c>
    </row>
    <row r="91" spans="1:16" x14ac:dyDescent="0.2">
      <c r="A91" s="8" t="s">
        <v>187</v>
      </c>
      <c r="B91" s="8" t="s">
        <v>188</v>
      </c>
      <c r="C91" s="9">
        <v>43854</v>
      </c>
      <c r="D91" s="8">
        <v>50</v>
      </c>
      <c r="E91" s="17">
        <v>1.46</v>
      </c>
      <c r="F91" s="8">
        <v>3.71</v>
      </c>
      <c r="G91" s="11">
        <f t="shared" si="20"/>
        <v>127.05479452054794</v>
      </c>
      <c r="H91" s="32">
        <f>'[1]auto data'!S17</f>
        <v>8.6300000000000008</v>
      </c>
      <c r="I91" s="8">
        <v>0</v>
      </c>
      <c r="J91" s="17">
        <f>J144</f>
        <v>1.467782181124321</v>
      </c>
      <c r="K91" s="11">
        <f t="shared" si="22"/>
        <v>293.98095000000006</v>
      </c>
      <c r="L91" s="19">
        <f t="shared" si="21"/>
        <v>1.3138123288409709</v>
      </c>
      <c r="M91" s="43">
        <f>7.85*(1-N91)</f>
        <v>5.8874999999999993</v>
      </c>
      <c r="N91" s="44">
        <v>0.25</v>
      </c>
      <c r="O91" s="15" t="s">
        <v>165</v>
      </c>
      <c r="P91" s="56">
        <v>2</v>
      </c>
    </row>
    <row r="92" spans="1:16" x14ac:dyDescent="0.2">
      <c r="A92" s="8" t="s">
        <v>189</v>
      </c>
      <c r="B92" s="8" t="s">
        <v>190</v>
      </c>
      <c r="C92" s="9">
        <v>44229</v>
      </c>
      <c r="D92" s="8">
        <v>75</v>
      </c>
      <c r="E92" s="17">
        <v>1.2022999999999999</v>
      </c>
      <c r="F92" s="10">
        <v>1.74</v>
      </c>
      <c r="G92" s="11">
        <f t="shared" si="20"/>
        <v>108.54196124095485</v>
      </c>
      <c r="H92" s="32">
        <f>'[1]auto data'!S18</f>
        <v>2.63</v>
      </c>
      <c r="I92" s="8">
        <v>0</v>
      </c>
      <c r="J92" s="17">
        <f>J143</f>
        <v>1.193744777366599</v>
      </c>
      <c r="K92" s="11">
        <f t="shared" si="22"/>
        <v>165.23632499999999</v>
      </c>
      <c r="L92" s="19">
        <f t="shared" si="21"/>
        <v>0.52232669385057451</v>
      </c>
      <c r="M92" s="13"/>
      <c r="N92" s="14"/>
      <c r="O92" s="15" t="s">
        <v>180</v>
      </c>
      <c r="P92" s="42">
        <v>4</v>
      </c>
    </row>
    <row r="93" spans="1:16" x14ac:dyDescent="0.2">
      <c r="A93" s="8" t="s">
        <v>191</v>
      </c>
      <c r="B93" s="8" t="s">
        <v>192</v>
      </c>
      <c r="C93" s="9">
        <v>44243</v>
      </c>
      <c r="D93" s="8">
        <v>0.7</v>
      </c>
      <c r="E93" s="17">
        <v>1</v>
      </c>
      <c r="F93" s="41">
        <v>35.270000000000003</v>
      </c>
      <c r="G93" s="11">
        <f>(F93*D93)/E93</f>
        <v>24.689</v>
      </c>
      <c r="H93" s="14">
        <v>44.51</v>
      </c>
      <c r="I93" s="8">
        <v>0</v>
      </c>
      <c r="J93" s="17">
        <v>1</v>
      </c>
      <c r="K93" s="11">
        <f t="shared" si="22"/>
        <v>31.156999999999996</v>
      </c>
      <c r="L93" s="19">
        <f t="shared" si="21"/>
        <v>0.26197901899631398</v>
      </c>
      <c r="M93" s="13"/>
      <c r="N93" s="14"/>
      <c r="O93" s="15" t="s">
        <v>159</v>
      </c>
      <c r="P93" s="42">
        <v>8</v>
      </c>
    </row>
    <row r="94" spans="1:16" x14ac:dyDescent="0.2">
      <c r="A94" s="8" t="s">
        <v>193</v>
      </c>
      <c r="B94" s="8" t="s">
        <v>194</v>
      </c>
      <c r="C94" s="9">
        <v>44202</v>
      </c>
      <c r="D94" s="8">
        <v>0.4</v>
      </c>
      <c r="E94" s="17">
        <v>1</v>
      </c>
      <c r="F94" s="41">
        <v>135</v>
      </c>
      <c r="G94" s="11">
        <f>(F94*D94)/E94</f>
        <v>54</v>
      </c>
      <c r="H94" s="33">
        <f>[1]crypto!C4</f>
        <v>107.1793</v>
      </c>
      <c r="I94" s="8">
        <v>0</v>
      </c>
      <c r="J94" s="17">
        <v>1</v>
      </c>
      <c r="K94" s="11">
        <f t="shared" si="22"/>
        <v>42.871720000000003</v>
      </c>
      <c r="L94" s="19">
        <f t="shared" si="21"/>
        <v>-0.20607925925925918</v>
      </c>
      <c r="M94" s="13"/>
      <c r="N94" s="14"/>
      <c r="O94" s="15" t="s">
        <v>159</v>
      </c>
      <c r="P94" s="42">
        <v>9</v>
      </c>
    </row>
    <row r="95" spans="1:16" x14ac:dyDescent="0.2">
      <c r="A95" s="8" t="s">
        <v>195</v>
      </c>
      <c r="B95" s="8" t="s">
        <v>196</v>
      </c>
      <c r="C95" s="9">
        <v>44277</v>
      </c>
      <c r="D95" s="8">
        <v>0.11</v>
      </c>
      <c r="E95" s="17">
        <v>1</v>
      </c>
      <c r="F95" s="41">
        <v>439</v>
      </c>
      <c r="G95" s="11">
        <f>(F95*D95)/E95</f>
        <v>48.29</v>
      </c>
      <c r="H95" s="33">
        <f>[1]crypto!C5</f>
        <v>385.18900000000002</v>
      </c>
      <c r="I95" s="8">
        <v>0</v>
      </c>
      <c r="J95" s="17">
        <v>1</v>
      </c>
      <c r="K95" s="11">
        <f t="shared" si="22"/>
        <v>42.37079</v>
      </c>
      <c r="L95" s="19">
        <f t="shared" si="21"/>
        <v>-0.12257630979498861</v>
      </c>
      <c r="M95" s="13"/>
      <c r="N95" s="14"/>
      <c r="O95" s="15" t="s">
        <v>159</v>
      </c>
      <c r="P95" s="42">
        <v>10</v>
      </c>
    </row>
    <row r="96" spans="1:16" x14ac:dyDescent="0.2">
      <c r="A96" s="8" t="s">
        <v>197</v>
      </c>
      <c r="B96" s="8" t="s">
        <v>198</v>
      </c>
      <c r="C96" s="9">
        <v>43874</v>
      </c>
      <c r="D96" s="8">
        <v>300</v>
      </c>
      <c r="E96" s="17">
        <v>1.44</v>
      </c>
      <c r="F96" s="8">
        <v>0.37</v>
      </c>
      <c r="G96" s="11">
        <f>(F96*D96)/E96</f>
        <v>77.083333333333343</v>
      </c>
      <c r="H96" s="33">
        <f>'[1]auto data'!P3</f>
        <v>0.59</v>
      </c>
      <c r="I96" s="8">
        <v>0</v>
      </c>
      <c r="J96" s="17">
        <f>J144</f>
        <v>1.467782181124321</v>
      </c>
      <c r="K96" s="11">
        <f t="shared" si="22"/>
        <v>120.59010000000001</v>
      </c>
      <c r="L96" s="19">
        <f t="shared" si="21"/>
        <v>0.56441210810810805</v>
      </c>
      <c r="M96" s="13"/>
      <c r="N96" s="14"/>
      <c r="O96" s="15" t="s">
        <v>165</v>
      </c>
      <c r="P96" s="42">
        <v>3</v>
      </c>
    </row>
    <row r="97" spans="1:16" x14ac:dyDescent="0.2">
      <c r="A97" s="8" t="s">
        <v>199</v>
      </c>
      <c r="B97" s="8" t="s">
        <v>200</v>
      </c>
      <c r="C97" s="9">
        <v>44294</v>
      </c>
      <c r="D97" s="8">
        <v>50</v>
      </c>
      <c r="E97" s="17">
        <v>1</v>
      </c>
      <c r="F97" s="41">
        <v>1.03</v>
      </c>
      <c r="G97" s="11">
        <f>(F97*D97)/E97</f>
        <v>51.5</v>
      </c>
      <c r="H97" s="14">
        <v>1.07</v>
      </c>
      <c r="I97" s="8">
        <v>0</v>
      </c>
      <c r="J97" s="17">
        <v>1</v>
      </c>
      <c r="K97" s="11">
        <f t="shared" si="22"/>
        <v>53.5</v>
      </c>
      <c r="L97" s="19">
        <f t="shared" si="21"/>
        <v>3.8834951456310676E-2</v>
      </c>
      <c r="M97" s="13"/>
      <c r="N97" s="14"/>
      <c r="O97" s="15" t="s">
        <v>159</v>
      </c>
      <c r="P97" s="42">
        <v>11</v>
      </c>
    </row>
    <row r="98" spans="1:16" x14ac:dyDescent="0.2">
      <c r="A98" s="2"/>
      <c r="B98" s="8"/>
      <c r="C98" s="9"/>
      <c r="D98" s="8"/>
      <c r="E98" s="17"/>
      <c r="F98" s="10"/>
      <c r="G98" s="11"/>
      <c r="H98" s="24"/>
      <c r="I98" s="8"/>
      <c r="J98" s="17"/>
      <c r="K98" s="11"/>
      <c r="L98" s="19"/>
      <c r="M98" s="13"/>
      <c r="N98" s="28"/>
      <c r="O98" s="55"/>
      <c r="P98" s="42"/>
    </row>
    <row r="99" spans="1:16" x14ac:dyDescent="0.2">
      <c r="A99" s="2" t="s">
        <v>201</v>
      </c>
      <c r="B99" s="8"/>
      <c r="C99" s="9"/>
      <c r="D99" s="31"/>
      <c r="E99" s="50"/>
      <c r="F99" s="8"/>
      <c r="G99" s="29"/>
      <c r="H99" s="23"/>
      <c r="I99" s="51"/>
      <c r="J99" s="50"/>
      <c r="K99" s="11">
        <v>8467</v>
      </c>
      <c r="L99" s="12"/>
      <c r="M99" s="42"/>
      <c r="N99" s="14"/>
      <c r="O99" s="15"/>
      <c r="P99" s="42"/>
    </row>
    <row r="100" spans="1:16" x14ac:dyDescent="0.2">
      <c r="A100" s="2" t="s">
        <v>202</v>
      </c>
      <c r="B100" s="8" t="s">
        <v>161</v>
      </c>
      <c r="C100" s="9">
        <v>44200</v>
      </c>
      <c r="D100" s="31"/>
      <c r="E100" s="50"/>
      <c r="F100" s="8"/>
      <c r="G100" s="29"/>
      <c r="H100" s="23"/>
      <c r="I100" s="51"/>
      <c r="J100" s="50"/>
      <c r="K100" s="11">
        <v>221</v>
      </c>
      <c r="L100" s="12"/>
      <c r="M100" s="42"/>
      <c r="N100" s="14"/>
      <c r="O100" s="15"/>
      <c r="P100" s="42"/>
    </row>
    <row r="101" spans="1:16" x14ac:dyDescent="0.2">
      <c r="A101" s="8" t="s">
        <v>203</v>
      </c>
      <c r="B101" s="8" t="s">
        <v>204</v>
      </c>
      <c r="C101" s="9">
        <v>44202</v>
      </c>
      <c r="D101" s="31"/>
      <c r="E101" s="50"/>
      <c r="F101" s="8"/>
      <c r="G101" s="29"/>
      <c r="H101" s="23"/>
      <c r="I101" s="51"/>
      <c r="J101" s="50"/>
      <c r="K101" s="11">
        <v>158</v>
      </c>
      <c r="L101" s="12"/>
      <c r="M101" s="42"/>
      <c r="N101" s="14"/>
      <c r="O101" s="15"/>
      <c r="P101" s="42"/>
    </row>
    <row r="102" spans="1:16" x14ac:dyDescent="0.2">
      <c r="A102" s="8" t="s">
        <v>205</v>
      </c>
      <c r="B102" s="8" t="s">
        <v>167</v>
      </c>
      <c r="C102" s="9">
        <v>44202</v>
      </c>
      <c r="D102" s="31"/>
      <c r="E102" s="50"/>
      <c r="F102" s="8"/>
      <c r="G102" s="29"/>
      <c r="H102" s="23"/>
      <c r="I102" s="51"/>
      <c r="J102" s="50"/>
      <c r="K102" s="11">
        <v>105</v>
      </c>
      <c r="L102" s="12"/>
      <c r="M102" s="42"/>
      <c r="N102" s="14"/>
      <c r="O102" s="15"/>
      <c r="P102" s="42"/>
    </row>
    <row r="103" spans="1:16" x14ac:dyDescent="0.2">
      <c r="A103" s="8" t="s">
        <v>206</v>
      </c>
      <c r="B103" s="8" t="s">
        <v>169</v>
      </c>
      <c r="C103" s="9">
        <v>44221</v>
      </c>
      <c r="D103" s="31"/>
      <c r="E103" s="50"/>
      <c r="F103" s="8"/>
      <c r="G103" s="29"/>
      <c r="H103" s="23"/>
      <c r="I103" s="51"/>
      <c r="J103" s="50"/>
      <c r="K103" s="11">
        <v>152</v>
      </c>
      <c r="L103" s="12"/>
      <c r="M103" s="42"/>
      <c r="N103" s="14"/>
      <c r="O103" s="15"/>
      <c r="P103" s="42"/>
    </row>
    <row r="104" spans="1:16" x14ac:dyDescent="0.2">
      <c r="A104" s="8" t="s">
        <v>207</v>
      </c>
      <c r="B104" s="8" t="s">
        <v>107</v>
      </c>
      <c r="C104" s="9">
        <v>44228</v>
      </c>
      <c r="D104" s="31"/>
      <c r="E104" s="50"/>
      <c r="F104" s="8"/>
      <c r="G104" s="29"/>
      <c r="H104" s="23"/>
      <c r="I104" s="51"/>
      <c r="J104" s="50"/>
      <c r="K104" s="11">
        <v>718</v>
      </c>
      <c r="L104" s="12"/>
      <c r="M104" s="42"/>
      <c r="N104" s="14"/>
      <c r="O104" s="15"/>
      <c r="P104" s="42"/>
    </row>
    <row r="105" spans="1:16" x14ac:dyDescent="0.2">
      <c r="A105" s="8" t="s">
        <v>208</v>
      </c>
      <c r="B105" s="8" t="s">
        <v>173</v>
      </c>
      <c r="C105" s="9">
        <v>44231</v>
      </c>
      <c r="D105" s="31"/>
      <c r="E105" s="50"/>
      <c r="F105" s="8"/>
      <c r="G105" s="29"/>
      <c r="H105" s="23"/>
      <c r="I105" s="51"/>
      <c r="J105" s="50"/>
      <c r="K105" s="11">
        <v>188</v>
      </c>
      <c r="L105" s="12"/>
      <c r="M105" s="42"/>
      <c r="N105" s="14"/>
      <c r="O105" s="15"/>
      <c r="P105" s="42"/>
    </row>
    <row r="106" spans="1:16" x14ac:dyDescent="0.2">
      <c r="A106" s="28" t="s">
        <v>209</v>
      </c>
      <c r="B106" s="8" t="s">
        <v>210</v>
      </c>
      <c r="C106" s="9">
        <v>44221</v>
      </c>
      <c r="D106" s="8"/>
      <c r="E106" s="17"/>
      <c r="F106" s="8"/>
      <c r="G106" s="11"/>
      <c r="H106" s="14"/>
      <c r="I106" s="8"/>
      <c r="J106" s="17"/>
      <c r="K106" s="11">
        <v>-253</v>
      </c>
      <c r="L106" s="21"/>
      <c r="M106" s="13"/>
      <c r="N106" s="14"/>
      <c r="O106" s="15"/>
      <c r="P106" s="42"/>
    </row>
    <row r="107" spans="1:16" x14ac:dyDescent="0.2">
      <c r="A107" s="55" t="s">
        <v>211</v>
      </c>
      <c r="B107" s="8" t="s">
        <v>175</v>
      </c>
      <c r="C107" s="9">
        <v>44233</v>
      </c>
      <c r="D107" s="8"/>
      <c r="E107" s="17"/>
      <c r="F107" s="8"/>
      <c r="G107" s="11"/>
      <c r="H107" s="14"/>
      <c r="I107" s="8"/>
      <c r="J107" s="17"/>
      <c r="K107" s="11">
        <v>100</v>
      </c>
      <c r="L107" s="21"/>
      <c r="M107" s="13"/>
      <c r="N107" s="14"/>
      <c r="O107" s="15"/>
      <c r="P107" s="42"/>
    </row>
    <row r="108" spans="1:16" x14ac:dyDescent="0.2">
      <c r="A108" s="55" t="s">
        <v>212</v>
      </c>
      <c r="B108" s="8" t="s">
        <v>177</v>
      </c>
      <c r="C108" s="9">
        <v>44233</v>
      </c>
      <c r="D108" s="8"/>
      <c r="E108" s="17"/>
      <c r="F108" s="8"/>
      <c r="G108" s="11"/>
      <c r="H108" s="14"/>
      <c r="I108" s="8"/>
      <c r="J108" s="17"/>
      <c r="K108" s="11">
        <v>102</v>
      </c>
      <c r="L108" s="21"/>
      <c r="M108" s="13"/>
      <c r="N108" s="14"/>
      <c r="O108" s="15"/>
      <c r="P108" s="42"/>
    </row>
    <row r="109" spans="1:16" x14ac:dyDescent="0.2">
      <c r="A109" s="8" t="s">
        <v>213</v>
      </c>
      <c r="B109" s="8" t="s">
        <v>179</v>
      </c>
      <c r="C109" s="9">
        <v>44237</v>
      </c>
      <c r="D109" s="8"/>
      <c r="E109" s="17"/>
      <c r="F109" s="8"/>
      <c r="G109" s="11"/>
      <c r="H109" s="14"/>
      <c r="I109" s="8"/>
      <c r="J109" s="17"/>
      <c r="K109" s="11">
        <v>896</v>
      </c>
      <c r="L109" s="21"/>
      <c r="M109" s="13"/>
      <c r="N109" s="14"/>
      <c r="O109" s="15"/>
      <c r="P109" s="42"/>
    </row>
    <row r="110" spans="1:16" x14ac:dyDescent="0.2">
      <c r="A110" s="8" t="s">
        <v>214</v>
      </c>
      <c r="B110" s="8" t="s">
        <v>214</v>
      </c>
      <c r="C110" s="9">
        <v>44190</v>
      </c>
      <c r="D110" s="8"/>
      <c r="E110" s="17"/>
      <c r="F110" s="8"/>
      <c r="G110" s="11"/>
      <c r="H110" s="14"/>
      <c r="I110" s="8"/>
      <c r="J110" s="17"/>
      <c r="K110" s="11">
        <v>-98</v>
      </c>
      <c r="L110" s="21"/>
      <c r="M110" s="13"/>
      <c r="N110" s="14"/>
      <c r="O110" s="15"/>
      <c r="P110" s="42"/>
    </row>
    <row r="111" spans="1:16" x14ac:dyDescent="0.2">
      <c r="A111" s="8" t="s">
        <v>215</v>
      </c>
      <c r="B111" s="8" t="s">
        <v>182</v>
      </c>
      <c r="C111" s="9">
        <v>44239</v>
      </c>
      <c r="D111" s="8"/>
      <c r="E111" s="17"/>
      <c r="F111" s="8"/>
      <c r="G111" s="11"/>
      <c r="H111" s="14"/>
      <c r="I111" s="8"/>
      <c r="J111" s="17"/>
      <c r="K111" s="11">
        <v>306</v>
      </c>
      <c r="L111" s="21"/>
      <c r="M111" s="13"/>
      <c r="N111" s="14"/>
      <c r="O111" s="15"/>
      <c r="P111" s="42"/>
    </row>
    <row r="112" spans="1:16" x14ac:dyDescent="0.2">
      <c r="A112" s="8" t="s">
        <v>216</v>
      </c>
      <c r="B112" s="8" t="s">
        <v>138</v>
      </c>
      <c r="C112" s="9">
        <v>44239</v>
      </c>
      <c r="D112" s="8"/>
      <c r="E112" s="17"/>
      <c r="F112" s="8"/>
      <c r="G112" s="11"/>
      <c r="H112" s="28"/>
      <c r="I112" s="8"/>
      <c r="J112" s="17"/>
      <c r="K112" s="11">
        <v>2293</v>
      </c>
      <c r="L112" s="19"/>
      <c r="M112" s="13"/>
      <c r="N112" s="14"/>
      <c r="O112" s="15"/>
      <c r="P112" s="42"/>
    </row>
    <row r="113" spans="1:16" x14ac:dyDescent="0.2">
      <c r="A113" s="8" t="s">
        <v>217</v>
      </c>
      <c r="B113" s="8" t="s">
        <v>154</v>
      </c>
      <c r="C113" s="9">
        <v>44239</v>
      </c>
      <c r="D113" s="8"/>
      <c r="E113" s="17"/>
      <c r="F113" s="8"/>
      <c r="G113" s="11"/>
      <c r="H113" s="14"/>
      <c r="I113" s="8"/>
      <c r="J113" s="17"/>
      <c r="K113" s="11">
        <v>1525</v>
      </c>
      <c r="L113" s="19"/>
      <c r="M113" s="13"/>
      <c r="N113" s="14"/>
      <c r="O113" s="15"/>
      <c r="P113" s="42"/>
    </row>
    <row r="114" spans="1:16" x14ac:dyDescent="0.2">
      <c r="A114" s="8" t="s">
        <v>218</v>
      </c>
      <c r="B114" s="8" t="s">
        <v>219</v>
      </c>
      <c r="C114" s="9">
        <v>44245</v>
      </c>
      <c r="D114" s="8"/>
      <c r="E114" s="17"/>
      <c r="F114" s="8"/>
      <c r="G114" s="11"/>
      <c r="H114" s="14"/>
      <c r="I114" s="8"/>
      <c r="J114" s="17"/>
      <c r="K114" s="11">
        <v>1729</v>
      </c>
      <c r="L114" s="19"/>
      <c r="M114" s="13"/>
      <c r="N114" s="14"/>
      <c r="O114" s="15"/>
      <c r="P114" s="42"/>
    </row>
    <row r="115" spans="1:16" x14ac:dyDescent="0.2">
      <c r="A115" s="8" t="s">
        <v>220</v>
      </c>
      <c r="B115" s="8" t="s">
        <v>184</v>
      </c>
      <c r="C115" s="9">
        <v>44245</v>
      </c>
      <c r="D115" s="8"/>
      <c r="E115" s="17"/>
      <c r="F115" s="8"/>
      <c r="G115" s="11"/>
      <c r="H115" s="14"/>
      <c r="I115" s="8"/>
      <c r="J115" s="17"/>
      <c r="K115" s="11">
        <v>97</v>
      </c>
      <c r="L115" s="19"/>
      <c r="M115" s="13"/>
      <c r="N115" s="14"/>
      <c r="O115" s="15"/>
      <c r="P115" s="42"/>
    </row>
    <row r="116" spans="1:16" x14ac:dyDescent="0.2">
      <c r="A116" s="8" t="s">
        <v>221</v>
      </c>
      <c r="B116" s="8" t="s">
        <v>222</v>
      </c>
      <c r="C116" s="9">
        <v>44245</v>
      </c>
      <c r="D116" s="8"/>
      <c r="E116" s="17"/>
      <c r="F116" s="23"/>
      <c r="G116" s="11"/>
      <c r="H116" s="14"/>
      <c r="I116" s="8"/>
      <c r="J116" s="17"/>
      <c r="K116" s="11">
        <v>226</v>
      </c>
      <c r="L116" s="19"/>
      <c r="M116" s="13"/>
      <c r="N116" s="14"/>
      <c r="O116" s="15"/>
      <c r="P116" s="42"/>
    </row>
    <row r="117" spans="1:16" x14ac:dyDescent="0.2">
      <c r="A117" s="8" t="s">
        <v>223</v>
      </c>
      <c r="B117" s="8" t="s">
        <v>186</v>
      </c>
      <c r="C117" s="9">
        <v>44244</v>
      </c>
      <c r="D117" s="8"/>
      <c r="E117" s="17"/>
      <c r="F117" s="23"/>
      <c r="G117" s="11"/>
      <c r="H117" s="14"/>
      <c r="I117" s="8"/>
      <c r="J117" s="17"/>
      <c r="K117" s="11">
        <v>811</v>
      </c>
      <c r="L117" s="19"/>
      <c r="M117" s="13"/>
      <c r="N117" s="14"/>
      <c r="O117" s="15"/>
      <c r="P117" s="42"/>
    </row>
    <row r="118" spans="1:16" x14ac:dyDescent="0.2">
      <c r="A118" s="8" t="s">
        <v>224</v>
      </c>
      <c r="B118" s="8" t="s">
        <v>188</v>
      </c>
      <c r="C118" s="9">
        <v>44246</v>
      </c>
      <c r="D118" s="8"/>
      <c r="E118" s="17"/>
      <c r="F118" s="23"/>
      <c r="G118" s="11"/>
      <c r="H118" s="14"/>
      <c r="I118" s="8"/>
      <c r="J118" s="17"/>
      <c r="K118" s="11">
        <v>255</v>
      </c>
      <c r="L118" s="19"/>
      <c r="M118" s="13"/>
      <c r="N118" s="14"/>
      <c r="O118" s="15"/>
      <c r="P118" s="42"/>
    </row>
    <row r="119" spans="1:16" x14ac:dyDescent="0.2">
      <c r="A119" s="8" t="s">
        <v>225</v>
      </c>
      <c r="B119" s="8" t="s">
        <v>226</v>
      </c>
      <c r="C119" s="9">
        <v>44259</v>
      </c>
      <c r="D119" s="8"/>
      <c r="E119" s="17"/>
      <c r="F119" s="10"/>
      <c r="G119" s="11"/>
      <c r="H119" s="24"/>
      <c r="I119" s="8"/>
      <c r="J119" s="17"/>
      <c r="K119" s="11">
        <v>-75</v>
      </c>
      <c r="L119" s="19"/>
      <c r="M119" s="13"/>
      <c r="N119" s="14"/>
      <c r="O119" s="15"/>
      <c r="P119" s="42"/>
    </row>
    <row r="120" spans="1:16" x14ac:dyDescent="0.2">
      <c r="A120" s="8" t="s">
        <v>227</v>
      </c>
      <c r="B120" s="8" t="s">
        <v>228</v>
      </c>
      <c r="C120" s="9">
        <v>44270</v>
      </c>
      <c r="D120" s="8"/>
      <c r="E120" s="17"/>
      <c r="F120" s="10"/>
      <c r="G120" s="11"/>
      <c r="H120" s="24"/>
      <c r="I120" s="8"/>
      <c r="J120" s="17"/>
      <c r="K120" s="11">
        <v>264</v>
      </c>
      <c r="L120" s="19"/>
      <c r="M120" s="13"/>
      <c r="N120" s="14"/>
      <c r="O120" s="15"/>
      <c r="P120" s="42"/>
    </row>
    <row r="121" spans="1:16" x14ac:dyDescent="0.2">
      <c r="A121" s="8" t="s">
        <v>229</v>
      </c>
      <c r="B121" s="8" t="s">
        <v>230</v>
      </c>
      <c r="C121" s="9">
        <v>44270</v>
      </c>
      <c r="D121" s="8"/>
      <c r="E121" s="17"/>
      <c r="F121" s="10"/>
      <c r="G121" s="11"/>
      <c r="H121" s="24"/>
      <c r="I121" s="8"/>
      <c r="J121" s="17"/>
      <c r="K121" s="11">
        <v>35</v>
      </c>
      <c r="L121" s="19"/>
      <c r="M121" s="13"/>
      <c r="N121" s="14"/>
      <c r="O121" s="15"/>
      <c r="P121" s="42"/>
    </row>
    <row r="122" spans="1:16" x14ac:dyDescent="0.2">
      <c r="A122" s="8" t="s">
        <v>231</v>
      </c>
      <c r="B122" s="8" t="s">
        <v>190</v>
      </c>
      <c r="C122" s="9">
        <v>44271</v>
      </c>
      <c r="D122" s="8"/>
      <c r="E122" s="17"/>
      <c r="F122" s="10"/>
      <c r="G122" s="11"/>
      <c r="H122" s="24"/>
      <c r="I122" s="8"/>
      <c r="J122" s="17"/>
      <c r="K122" s="11">
        <v>120</v>
      </c>
      <c r="L122" s="19"/>
      <c r="M122" s="13"/>
      <c r="N122" s="14"/>
      <c r="O122" s="15"/>
      <c r="P122" s="42"/>
    </row>
    <row r="123" spans="1:16" x14ac:dyDescent="0.2">
      <c r="A123" s="8" t="s">
        <v>23</v>
      </c>
      <c r="B123" s="8" t="s">
        <v>24</v>
      </c>
      <c r="C123" s="9">
        <v>44272</v>
      </c>
      <c r="D123" s="8"/>
      <c r="E123" s="17"/>
      <c r="F123" s="10"/>
      <c r="G123" s="11"/>
      <c r="H123" s="24"/>
      <c r="I123" s="23"/>
      <c r="J123" s="17"/>
      <c r="K123" s="11">
        <v>581</v>
      </c>
      <c r="L123" s="19"/>
      <c r="M123" s="13"/>
      <c r="N123" s="14"/>
      <c r="O123" s="15"/>
      <c r="P123" s="20"/>
    </row>
    <row r="124" spans="1:16" x14ac:dyDescent="0.2">
      <c r="A124" s="8" t="s">
        <v>232</v>
      </c>
      <c r="B124" s="8" t="s">
        <v>233</v>
      </c>
      <c r="C124" s="9">
        <v>44273</v>
      </c>
      <c r="D124" s="8"/>
      <c r="E124" s="17"/>
      <c r="F124" s="10"/>
      <c r="G124" s="11"/>
      <c r="H124" s="24"/>
      <c r="I124" s="23"/>
      <c r="J124" s="17"/>
      <c r="K124" s="11">
        <v>100</v>
      </c>
      <c r="L124" s="19"/>
      <c r="M124" s="13"/>
      <c r="N124" s="14"/>
      <c r="O124" s="15"/>
      <c r="P124" s="20"/>
    </row>
    <row r="125" spans="1:16" x14ac:dyDescent="0.2">
      <c r="A125" s="8" t="s">
        <v>216</v>
      </c>
      <c r="B125" s="8" t="s">
        <v>138</v>
      </c>
      <c r="C125" s="9">
        <v>44298</v>
      </c>
      <c r="D125" s="8"/>
      <c r="E125" s="17"/>
      <c r="F125" s="10"/>
      <c r="G125" s="11"/>
      <c r="H125" s="24"/>
      <c r="I125" s="23"/>
      <c r="J125" s="17"/>
      <c r="K125" s="11">
        <v>500</v>
      </c>
      <c r="L125" s="19"/>
      <c r="M125" s="13"/>
      <c r="N125" s="14"/>
      <c r="O125" s="15"/>
      <c r="P125" s="20"/>
    </row>
    <row r="126" spans="1:16" x14ac:dyDescent="0.2">
      <c r="A126" s="8" t="s">
        <v>217</v>
      </c>
      <c r="B126" s="8" t="s">
        <v>154</v>
      </c>
      <c r="C126" s="9">
        <v>44298</v>
      </c>
      <c r="D126" s="8"/>
      <c r="E126" s="17"/>
      <c r="F126" s="10"/>
      <c r="G126" s="11"/>
      <c r="H126" s="24"/>
      <c r="I126" s="23"/>
      <c r="J126" s="17"/>
      <c r="K126" s="11">
        <v>893</v>
      </c>
      <c r="L126" s="19"/>
      <c r="M126" s="13"/>
      <c r="N126" s="14"/>
      <c r="O126" s="15"/>
      <c r="P126" s="20"/>
    </row>
    <row r="127" spans="1:16" x14ac:dyDescent="0.2">
      <c r="A127" s="8" t="s">
        <v>206</v>
      </c>
      <c r="B127" s="8" t="s">
        <v>169</v>
      </c>
      <c r="C127" s="9">
        <v>44298</v>
      </c>
      <c r="D127" s="8"/>
      <c r="E127" s="17"/>
      <c r="F127" s="10"/>
      <c r="G127" s="11"/>
      <c r="H127" s="24"/>
      <c r="I127" s="23"/>
      <c r="J127" s="17"/>
      <c r="K127" s="11">
        <v>200</v>
      </c>
      <c r="L127" s="19"/>
      <c r="M127" s="13"/>
      <c r="N127" s="14"/>
      <c r="O127" s="15"/>
      <c r="P127" s="20"/>
    </row>
    <row r="128" spans="1:16" x14ac:dyDescent="0.2">
      <c r="A128" s="8" t="s">
        <v>232</v>
      </c>
      <c r="B128" s="8" t="s">
        <v>192</v>
      </c>
      <c r="C128" s="9">
        <v>44298</v>
      </c>
      <c r="D128" s="8"/>
      <c r="E128" s="17"/>
      <c r="F128" s="10"/>
      <c r="G128" s="11"/>
      <c r="H128" s="24"/>
      <c r="I128" s="23"/>
      <c r="J128" s="17"/>
      <c r="K128" s="11">
        <v>100</v>
      </c>
      <c r="L128" s="19"/>
      <c r="M128" s="13"/>
      <c r="N128" s="14"/>
      <c r="O128" s="15"/>
      <c r="P128" s="20"/>
    </row>
    <row r="129" spans="1:16" x14ac:dyDescent="0.2">
      <c r="A129" s="8" t="s">
        <v>234</v>
      </c>
      <c r="B129" s="8" t="s">
        <v>117</v>
      </c>
      <c r="C129" s="9">
        <v>44298</v>
      </c>
      <c r="D129" s="8"/>
      <c r="E129" s="17"/>
      <c r="F129" s="10"/>
      <c r="G129" s="11"/>
      <c r="H129" s="24"/>
      <c r="I129" s="23"/>
      <c r="J129" s="17"/>
      <c r="K129" s="11">
        <v>100</v>
      </c>
      <c r="L129" s="19"/>
      <c r="M129" s="13"/>
      <c r="N129" s="14"/>
      <c r="O129" s="15"/>
      <c r="P129" s="20"/>
    </row>
    <row r="130" spans="1:16" x14ac:dyDescent="0.2">
      <c r="A130" s="8" t="s">
        <v>124</v>
      </c>
      <c r="B130" s="8" t="s">
        <v>124</v>
      </c>
      <c r="C130" s="9">
        <v>44298</v>
      </c>
      <c r="D130" s="8"/>
      <c r="E130" s="17"/>
      <c r="F130" s="10"/>
      <c r="G130" s="11"/>
      <c r="H130" s="24"/>
      <c r="I130" s="23"/>
      <c r="J130" s="17"/>
      <c r="K130" s="11">
        <v>100</v>
      </c>
      <c r="L130" s="19"/>
      <c r="M130" s="13"/>
      <c r="N130" s="14"/>
      <c r="O130" s="15"/>
      <c r="P130" s="20"/>
    </row>
    <row r="131" spans="1:16" x14ac:dyDescent="0.2">
      <c r="A131" s="8" t="s">
        <v>235</v>
      </c>
      <c r="B131" s="8" t="s">
        <v>32</v>
      </c>
      <c r="C131" s="9">
        <v>44302</v>
      </c>
      <c r="D131" s="8"/>
      <c r="E131" s="17"/>
      <c r="F131" s="10"/>
      <c r="G131" s="11"/>
      <c r="H131" s="24"/>
      <c r="I131" s="23"/>
      <c r="J131" s="17"/>
      <c r="K131" s="11">
        <v>12</v>
      </c>
      <c r="L131" s="19"/>
      <c r="M131" s="13"/>
      <c r="N131" s="14"/>
      <c r="O131" s="15"/>
      <c r="P131" s="20"/>
    </row>
    <row r="132" spans="1:16" x14ac:dyDescent="0.2">
      <c r="A132" s="8" t="s">
        <v>236</v>
      </c>
      <c r="B132" s="8" t="s">
        <v>194</v>
      </c>
      <c r="C132" s="9">
        <v>44303</v>
      </c>
      <c r="D132" s="8"/>
      <c r="E132" s="17"/>
      <c r="F132" s="10"/>
      <c r="G132" s="11"/>
      <c r="H132" s="24"/>
      <c r="I132" s="23"/>
      <c r="J132" s="17"/>
      <c r="K132" s="11">
        <v>108</v>
      </c>
      <c r="L132" s="19"/>
      <c r="M132" s="13"/>
      <c r="N132" s="14"/>
      <c r="O132" s="15"/>
      <c r="P132" s="20"/>
    </row>
    <row r="133" spans="1:16" x14ac:dyDescent="0.2">
      <c r="A133" s="8" t="s">
        <v>237</v>
      </c>
      <c r="B133" s="8" t="s">
        <v>238</v>
      </c>
      <c r="C133" s="9">
        <v>44303</v>
      </c>
      <c r="D133" s="8"/>
      <c r="E133" s="17"/>
      <c r="F133" s="10"/>
      <c r="G133" s="11"/>
      <c r="H133" s="24"/>
      <c r="I133" s="23"/>
      <c r="J133" s="17"/>
      <c r="K133" s="11">
        <v>109</v>
      </c>
      <c r="L133" s="19"/>
      <c r="M133" s="13"/>
      <c r="N133" s="14"/>
      <c r="O133" s="15"/>
      <c r="P133" s="20"/>
    </row>
    <row r="134" spans="1:16" x14ac:dyDescent="0.2">
      <c r="A134" s="8" t="s">
        <v>239</v>
      </c>
      <c r="B134" s="8" t="s">
        <v>240</v>
      </c>
      <c r="C134" s="9">
        <v>44326</v>
      </c>
      <c r="D134" s="8"/>
      <c r="E134" s="17"/>
      <c r="F134" s="10"/>
      <c r="G134" s="11"/>
      <c r="H134" s="24"/>
      <c r="I134" s="23"/>
      <c r="J134" s="17"/>
      <c r="K134" s="11">
        <v>159</v>
      </c>
      <c r="L134" s="19"/>
      <c r="M134" s="13"/>
      <c r="N134" s="14"/>
      <c r="O134" s="15"/>
      <c r="P134" s="20"/>
    </row>
    <row r="135" spans="1:16" x14ac:dyDescent="0.2">
      <c r="A135" s="8" t="s">
        <v>27</v>
      </c>
      <c r="B135" s="8" t="s">
        <v>28</v>
      </c>
      <c r="C135" s="9">
        <v>44326</v>
      </c>
      <c r="D135" s="8"/>
      <c r="E135" s="17"/>
      <c r="F135" s="10"/>
      <c r="G135" s="11"/>
      <c r="H135" s="24"/>
      <c r="I135" s="23"/>
      <c r="J135" s="17"/>
      <c r="K135" s="11">
        <v>429</v>
      </c>
      <c r="L135" s="19"/>
      <c r="M135" s="13"/>
      <c r="N135" s="14"/>
      <c r="O135" s="15"/>
      <c r="P135" s="20"/>
    </row>
    <row r="136" spans="1:16" x14ac:dyDescent="0.2">
      <c r="A136" s="8" t="s">
        <v>241</v>
      </c>
      <c r="B136" s="8" t="s">
        <v>242</v>
      </c>
      <c r="C136" s="9">
        <v>44330</v>
      </c>
      <c r="D136" s="8"/>
      <c r="E136" s="17"/>
      <c r="F136" s="10"/>
      <c r="G136" s="11"/>
      <c r="H136" s="24"/>
      <c r="I136" s="8"/>
      <c r="J136" s="17"/>
      <c r="K136" s="11">
        <v>-106</v>
      </c>
      <c r="L136" s="25"/>
      <c r="M136" s="13"/>
      <c r="N136" s="14"/>
      <c r="O136" s="15"/>
      <c r="P136" s="20"/>
    </row>
    <row r="137" spans="1:16" x14ac:dyDescent="0.2">
      <c r="A137" s="8" t="s">
        <v>243</v>
      </c>
      <c r="B137" s="8" t="s">
        <v>200</v>
      </c>
      <c r="C137" s="9">
        <v>44332</v>
      </c>
      <c r="D137" s="8"/>
      <c r="E137" s="17"/>
      <c r="F137" s="10"/>
      <c r="G137" s="11"/>
      <c r="H137" s="24"/>
      <c r="I137" s="8"/>
      <c r="J137" s="17"/>
      <c r="K137" s="11">
        <v>103</v>
      </c>
      <c r="L137" s="25"/>
      <c r="M137" s="13"/>
      <c r="N137" s="14"/>
      <c r="O137" s="15"/>
      <c r="P137" s="20"/>
    </row>
    <row r="138" spans="1:16" x14ac:dyDescent="0.2">
      <c r="A138" s="8" t="s">
        <v>216</v>
      </c>
      <c r="B138" s="8" t="s">
        <v>138</v>
      </c>
      <c r="C138" s="9">
        <v>44332</v>
      </c>
      <c r="D138" s="8"/>
      <c r="E138" s="17"/>
      <c r="F138" s="10"/>
      <c r="G138" s="11"/>
      <c r="H138" s="24"/>
      <c r="I138" s="8"/>
      <c r="J138" s="17"/>
      <c r="K138" s="11">
        <v>250</v>
      </c>
      <c r="L138" s="25"/>
      <c r="M138" s="13"/>
      <c r="N138" s="14"/>
      <c r="O138" s="15"/>
      <c r="P138" s="20"/>
    </row>
    <row r="139" spans="1:16" x14ac:dyDescent="0.2">
      <c r="A139" s="8" t="s">
        <v>244</v>
      </c>
      <c r="B139" s="8" t="s">
        <v>245</v>
      </c>
      <c r="C139" s="9">
        <v>44335</v>
      </c>
      <c r="D139" s="8"/>
      <c r="E139" s="17"/>
      <c r="F139" s="10"/>
      <c r="G139" s="11"/>
      <c r="H139" s="24"/>
      <c r="I139" s="8"/>
      <c r="J139" s="17"/>
      <c r="K139" s="11">
        <v>-230</v>
      </c>
      <c r="L139" s="25"/>
      <c r="M139" s="13"/>
      <c r="N139" s="14"/>
      <c r="O139" s="15"/>
      <c r="P139" s="20"/>
    </row>
    <row r="140" spans="1:16" x14ac:dyDescent="0.2">
      <c r="A140" s="8" t="s">
        <v>246</v>
      </c>
      <c r="B140" s="8" t="s">
        <v>34</v>
      </c>
      <c r="C140" s="9">
        <v>44347</v>
      </c>
      <c r="D140" s="8"/>
      <c r="E140" s="17"/>
      <c r="F140" s="10"/>
      <c r="G140" s="11"/>
      <c r="H140" s="24"/>
      <c r="I140" s="8"/>
      <c r="J140" s="17"/>
      <c r="K140" s="11">
        <v>211</v>
      </c>
      <c r="L140" s="25"/>
      <c r="M140" s="13"/>
      <c r="N140" s="14"/>
      <c r="O140" s="15"/>
      <c r="P140" s="20"/>
    </row>
    <row r="141" spans="1:16" x14ac:dyDescent="0.2">
      <c r="A141" s="8" t="s">
        <v>247</v>
      </c>
      <c r="B141" s="8" t="s">
        <v>248</v>
      </c>
      <c r="C141" s="9">
        <v>44054</v>
      </c>
      <c r="D141" s="8"/>
      <c r="E141" s="17"/>
      <c r="F141" s="10"/>
      <c r="G141" s="11"/>
      <c r="H141" s="24"/>
      <c r="I141" s="8"/>
      <c r="J141" s="17"/>
      <c r="K141" s="11">
        <v>-76</v>
      </c>
      <c r="L141" s="25"/>
      <c r="M141" s="13"/>
      <c r="N141" s="14"/>
      <c r="O141" s="15"/>
      <c r="P141" s="20"/>
    </row>
    <row r="142" spans="1:16" x14ac:dyDescent="0.2">
      <c r="A142" s="8" t="s">
        <v>249</v>
      </c>
      <c r="B142" s="8" t="s">
        <v>250</v>
      </c>
      <c r="C142" s="9">
        <v>43958</v>
      </c>
      <c r="D142" s="8"/>
      <c r="E142" s="17"/>
      <c r="F142" s="10"/>
      <c r="G142" s="11"/>
      <c r="H142" s="24"/>
      <c r="I142" s="8"/>
      <c r="J142" s="17"/>
      <c r="K142" s="11">
        <v>105</v>
      </c>
      <c r="L142" s="25"/>
      <c r="M142" s="13"/>
      <c r="N142" s="14"/>
      <c r="O142" s="15"/>
      <c r="P142" s="20"/>
    </row>
    <row r="143" spans="1:16" x14ac:dyDescent="0.2">
      <c r="A143" s="8" t="s">
        <v>251</v>
      </c>
      <c r="B143" s="8" t="s">
        <v>252</v>
      </c>
      <c r="C143" s="9"/>
      <c r="D143" s="8"/>
      <c r="E143" s="8"/>
      <c r="F143" s="49"/>
      <c r="G143" s="8"/>
      <c r="H143" s="57"/>
      <c r="I143" s="8"/>
      <c r="J143" s="58">
        <f>'[1]auto data'!D3</f>
        <v>1.193744777366599</v>
      </c>
      <c r="K143" s="8"/>
      <c r="L143" s="8"/>
      <c r="M143" s="42"/>
      <c r="N143" s="28"/>
      <c r="O143" s="55"/>
      <c r="P143" s="42"/>
    </row>
    <row r="144" spans="1:16" x14ac:dyDescent="0.2">
      <c r="A144" s="8" t="s">
        <v>253</v>
      </c>
      <c r="B144" s="8" t="s">
        <v>254</v>
      </c>
      <c r="C144" s="8"/>
      <c r="D144" s="8"/>
      <c r="E144" s="8"/>
      <c r="F144" s="8"/>
      <c r="G144" s="8"/>
      <c r="H144" s="8"/>
      <c r="I144" s="8"/>
      <c r="J144" s="58">
        <f>'[1]auto data'!D4</f>
        <v>1.467782181124321</v>
      </c>
      <c r="K144" s="8"/>
      <c r="L144" s="8"/>
      <c r="M144" s="42"/>
      <c r="N144" s="28"/>
      <c r="O144" s="55"/>
      <c r="P144" s="42"/>
    </row>
    <row r="145" spans="1:16" x14ac:dyDescent="0.2">
      <c r="A145" s="8" t="s">
        <v>255</v>
      </c>
      <c r="B145" s="8" t="s">
        <v>256</v>
      </c>
      <c r="C145" s="8"/>
      <c r="D145" s="8"/>
      <c r="E145" s="8"/>
      <c r="F145" s="8"/>
      <c r="G145" s="8"/>
      <c r="H145" s="8"/>
      <c r="I145" s="8"/>
      <c r="J145" s="58">
        <f>'[1]auto data'!D5</f>
        <v>1.5735641227380017</v>
      </c>
      <c r="K145" s="8"/>
      <c r="L145" s="8"/>
      <c r="M145" s="42"/>
      <c r="N145" s="28"/>
      <c r="O145" s="55"/>
      <c r="P145" s="42"/>
    </row>
    <row r="146" spans="1:16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17"/>
      <c r="K146" s="8"/>
      <c r="L146" s="8"/>
      <c r="M146" s="42"/>
      <c r="N146" s="28"/>
      <c r="O146" s="55"/>
      <c r="P146" s="42"/>
    </row>
    <row r="147" spans="1:16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17"/>
      <c r="K147" s="8"/>
      <c r="L147" s="8"/>
      <c r="M147" s="42"/>
      <c r="N147" s="28"/>
      <c r="O147" s="55"/>
      <c r="P147" s="42"/>
    </row>
    <row r="148" spans="1:16" x14ac:dyDescent="0.2">
      <c r="A148" s="59" t="s">
        <v>257</v>
      </c>
      <c r="B148" s="59"/>
      <c r="C148" s="59"/>
      <c r="D148" s="59"/>
      <c r="E148" s="60">
        <f>SUM(G3:G97)</f>
        <v>33005.868029241123</v>
      </c>
      <c r="F148" s="8"/>
      <c r="G148" s="59" t="s">
        <v>258</v>
      </c>
      <c r="H148" s="59"/>
      <c r="I148" s="59"/>
      <c r="J148" s="59"/>
      <c r="K148" s="61">
        <f>SUM(K3:K97)</f>
        <v>42590.418057919465</v>
      </c>
      <c r="L148" s="8"/>
      <c r="M148" s="62" t="s">
        <v>259</v>
      </c>
      <c r="N148" s="63"/>
      <c r="O148" s="64"/>
      <c r="P148" s="65">
        <f>E150-E148</f>
        <v>13984.131970758877</v>
      </c>
    </row>
    <row r="149" spans="1:16" x14ac:dyDescent="0.2">
      <c r="A149" s="59" t="s">
        <v>260</v>
      </c>
      <c r="B149" s="59"/>
      <c r="C149" s="59"/>
      <c r="D149" s="59"/>
      <c r="E149" s="60">
        <v>25000</v>
      </c>
      <c r="F149" s="8"/>
      <c r="G149" s="62" t="s">
        <v>261</v>
      </c>
      <c r="H149" s="63"/>
      <c r="I149" s="63"/>
      <c r="J149" s="64"/>
      <c r="K149" s="66">
        <f>K148-E148</f>
        <v>9584.5500286783426</v>
      </c>
      <c r="L149" s="8"/>
      <c r="M149" s="62" t="s">
        <v>262</v>
      </c>
      <c r="N149" s="63"/>
      <c r="O149" s="64"/>
      <c r="P149" s="67">
        <f>P148/E150</f>
        <v>0.29759804151434088</v>
      </c>
    </row>
    <row r="150" spans="1:16" x14ac:dyDescent="0.2">
      <c r="A150" s="59" t="s">
        <v>263</v>
      </c>
      <c r="B150" s="59"/>
      <c r="C150" s="59"/>
      <c r="D150" s="59"/>
      <c r="E150" s="60">
        <f>E149+K150</f>
        <v>46990</v>
      </c>
      <c r="F150" s="8"/>
      <c r="G150" s="59" t="s">
        <v>264</v>
      </c>
      <c r="H150" s="59"/>
      <c r="I150" s="59"/>
      <c r="J150" s="59"/>
      <c r="K150" s="61">
        <f>SUM(K99:K142)</f>
        <v>21990</v>
      </c>
      <c r="L150" s="29"/>
      <c r="M150" s="62"/>
      <c r="N150" s="63"/>
      <c r="O150" s="64"/>
      <c r="P150" s="7"/>
    </row>
    <row r="151" spans="1:16" x14ac:dyDescent="0.2">
      <c r="A151" s="59" t="s">
        <v>265</v>
      </c>
      <c r="B151" s="59"/>
      <c r="C151" s="59"/>
      <c r="D151" s="59"/>
      <c r="E151" s="60">
        <f>E150+K151+K150</f>
        <v>68981.26298200115</v>
      </c>
      <c r="F151" s="8"/>
      <c r="G151" s="59" t="s">
        <v>266</v>
      </c>
      <c r="H151" s="59"/>
      <c r="I151" s="59"/>
      <c r="J151" s="59"/>
      <c r="K151" s="68">
        <f>(K149+K150)/E149</f>
        <v>1.2629820011471338</v>
      </c>
      <c r="L151" s="29"/>
      <c r="M151" s="69"/>
      <c r="N151" s="70"/>
      <c r="O151" s="71"/>
      <c r="P151" s="7"/>
    </row>
    <row r="152" spans="1:16" x14ac:dyDescent="0.2">
      <c r="A152" s="72"/>
      <c r="B152" s="73"/>
      <c r="C152" s="73"/>
      <c r="D152" s="74"/>
      <c r="E152" s="8"/>
      <c r="F152" s="8"/>
      <c r="G152" s="72"/>
      <c r="H152" s="73"/>
      <c r="I152" s="73"/>
      <c r="J152" s="74"/>
      <c r="K152" s="8"/>
      <c r="L152" s="8"/>
      <c r="M152" s="72"/>
      <c r="N152" s="73"/>
      <c r="O152" s="74"/>
      <c r="P152" s="42"/>
    </row>
    <row r="153" spans="1:16" x14ac:dyDescent="0.2">
      <c r="A153" s="2" t="s">
        <v>267</v>
      </c>
      <c r="B153" s="2" t="s">
        <v>1</v>
      </c>
      <c r="C153" s="2"/>
      <c r="D153" s="2" t="s">
        <v>3</v>
      </c>
      <c r="E153" s="2" t="s">
        <v>268</v>
      </c>
      <c r="F153" s="2" t="s">
        <v>269</v>
      </c>
      <c r="G153" s="2" t="s">
        <v>270</v>
      </c>
      <c r="H153" s="5"/>
      <c r="I153" s="5" t="s">
        <v>271</v>
      </c>
      <c r="J153" s="75" t="s">
        <v>272</v>
      </c>
      <c r="K153" s="62" t="s">
        <v>273</v>
      </c>
      <c r="L153" s="63"/>
      <c r="M153" s="63"/>
      <c r="N153" s="63"/>
      <c r="O153" s="63"/>
      <c r="P153" s="64"/>
    </row>
    <row r="154" spans="1:16" x14ac:dyDescent="0.2">
      <c r="A154" s="8"/>
      <c r="B154" s="8"/>
      <c r="C154" s="9"/>
      <c r="D154" s="8"/>
      <c r="E154" s="76"/>
      <c r="F154" s="77"/>
      <c r="G154" s="78"/>
      <c r="H154" s="79"/>
      <c r="I154" s="42"/>
      <c r="J154" s="80"/>
      <c r="K154" s="81"/>
      <c r="L154" s="82"/>
      <c r="M154" s="82"/>
      <c r="N154" s="82"/>
      <c r="O154" s="82"/>
      <c r="P154" s="83"/>
    </row>
    <row r="155" spans="1:16" x14ac:dyDescent="0.2">
      <c r="A155" s="8"/>
      <c r="B155" s="8"/>
      <c r="C155" s="9"/>
      <c r="D155" s="8"/>
      <c r="E155" s="76"/>
      <c r="F155" s="77"/>
      <c r="G155" s="78"/>
      <c r="H155" s="79"/>
      <c r="I155" s="42"/>
      <c r="J155" s="80"/>
      <c r="K155" s="81"/>
      <c r="L155" s="82"/>
      <c r="M155" s="82"/>
      <c r="N155" s="82"/>
      <c r="O155" s="82"/>
      <c r="P155" s="83"/>
    </row>
  </sheetData>
  <mergeCells count="18">
    <mergeCell ref="K153:P153"/>
    <mergeCell ref="K154:P154"/>
    <mergeCell ref="K155:P155"/>
    <mergeCell ref="A150:D150"/>
    <mergeCell ref="G150:J150"/>
    <mergeCell ref="M150:O150"/>
    <mergeCell ref="A151:D151"/>
    <mergeCell ref="G151:J151"/>
    <mergeCell ref="A152:D152"/>
    <mergeCell ref="G152:J152"/>
    <mergeCell ref="M152:O152"/>
    <mergeCell ref="A1:P1"/>
    <mergeCell ref="A148:D148"/>
    <mergeCell ref="G148:J148"/>
    <mergeCell ref="M148:O148"/>
    <mergeCell ref="A149:D149"/>
    <mergeCell ref="G149:J149"/>
    <mergeCell ref="M149:O1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2021-06-26T05:39:54Z</dcterms:created>
  <dcterms:modified xsi:type="dcterms:W3CDTF">2021-06-26T05:42:54Z</dcterms:modified>
</cp:coreProperties>
</file>